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1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shley\Dropbox (Pansophic Learning)\FY2025\Spring Budgets\ZZ Sponsor Files\"/>
    </mc:Choice>
  </mc:AlternateContent>
  <xr:revisionPtr revIDLastSave="3" documentId="8_{7FEDAA05-4F83-479C-85E1-56C258B53C6E}" xr6:coauthVersionLast="47" xr6:coauthVersionMax="47" xr10:uidLastSave="{06DA935A-AB34-46C5-9D57-E09341D5F8A4}"/>
  <bookViews>
    <workbookView xWindow="28680" yWindow="-120" windowWidth="29040" windowHeight="15840" xr2:uid="{235CF875-A8B9-406E-AAEA-6C30A95FEA8F}"/>
  </bookViews>
  <sheets>
    <sheet name="SCPA GV - 5 YR" sheetId="1" r:id="rId1"/>
  </sheets>
  <definedNames>
    <definedName name="\A">#REF!</definedName>
    <definedName name="\B">#REF!</definedName>
    <definedName name="\H">#REF!</definedName>
    <definedName name="\K">#REF!</definedName>
    <definedName name="\M">#REF!</definedName>
    <definedName name="\O">#REF!</definedName>
    <definedName name="\Q">#REF!</definedName>
    <definedName name="\T">#REF!</definedName>
    <definedName name="\W">#REF!</definedName>
    <definedName name="\X">#REF!</definedName>
    <definedName name="\Y">#REF!</definedName>
    <definedName name="\Z">#REF!</definedName>
    <definedName name="___AFS2">#REF!</definedName>
    <definedName name="___DTB1">#REF!</definedName>
    <definedName name="___DTB2">#REF!</definedName>
    <definedName name="__AFS2">#REF!</definedName>
    <definedName name="__DTB1">#REF!</definedName>
    <definedName name="__DTB2">#REF!</definedName>
    <definedName name="_10KEY_INTERCONNCT">#REF!</definedName>
    <definedName name="_11KEY_INTLDIST">#REF!</definedName>
    <definedName name="_12KEY_MATMGMT">#REF!</definedName>
    <definedName name="_13KEY_MFTG">#REF!</definedName>
    <definedName name="_14KEY_POWER">#REF!</definedName>
    <definedName name="_15KEY_REPEATERS">#REF!</definedName>
    <definedName name="_16KEY_TELEWIRE">#REF!</definedName>
    <definedName name="_17KEY_TW_DIST">#REF!</definedName>
    <definedName name="_18TRANS_ACQUIS">#REF!</definedName>
    <definedName name="_19TRANS_BS">#REF!</definedName>
    <definedName name="_1KEY_ACTVELEC">#REF!</definedName>
    <definedName name="_20ZP_PRIOR_CONSOL">#REF!</definedName>
    <definedName name="_21ZP_YTD_CONSOL">#REF!</definedName>
    <definedName name="_2KEY_ANTECH">#REF!</definedName>
    <definedName name="_3KEY_CONSOL">#REF!</definedName>
    <definedName name="_4KEY_CONSOLKEPTL">#REF!</definedName>
    <definedName name="_5KEY_DEMARC">#REF!</definedName>
    <definedName name="_6KEY_DIGITAL">#REF!</definedName>
    <definedName name="_7KEY_DISTRIB">#REF!</definedName>
    <definedName name="_8KEY_ECCO">#REF!</definedName>
    <definedName name="_9KEY_ESP">#REF!</definedName>
    <definedName name="_AFS2">#REF!</definedName>
    <definedName name="_DTB1">#REF!</definedName>
    <definedName name="_DTB2">#REF!</definedName>
    <definedName name="_Fill" hidden="1">#REF!</definedName>
    <definedName name="_Key1" hidden="1">#REF!</definedName>
    <definedName name="_Key2" hidden="1">#REF!</definedName>
    <definedName name="_Order1" hidden="1">255</definedName>
    <definedName name="_Order2" hidden="1">255</definedName>
    <definedName name="_Sort" hidden="1">#REF!</definedName>
    <definedName name="_Table2_Out" hidden="1">#REF!</definedName>
    <definedName name="ACCCOMP">#REF!</definedName>
    <definedName name="ACCLIAB">#REF!</definedName>
    <definedName name="adds">#REF!</definedName>
    <definedName name="AEC">#REF!</definedName>
    <definedName name="af">#REF!</definedName>
    <definedName name="AFS">#REF!</definedName>
    <definedName name="AJE">#REF!</definedName>
    <definedName name="Allowance">#REF!</definedName>
    <definedName name="AP">#REF!</definedName>
    <definedName name="apos">#REF!</definedName>
    <definedName name="APOS_HOURS">#REF!</definedName>
    <definedName name="APShours">#REF!</definedName>
    <definedName name="AR">#REF!</definedName>
    <definedName name="AS2DocOpenMode" hidden="1">"AS2DocumentEdit"</definedName>
    <definedName name="AS2NamedRange" hidden="1">2</definedName>
    <definedName name="AS2ReportLS" hidden="1">2</definedName>
    <definedName name="AS2SyncStepLS" hidden="1">3</definedName>
    <definedName name="AS2VersionLS" hidden="1">220</definedName>
    <definedName name="asd">#REF!</definedName>
    <definedName name="AZhours">#REF!</definedName>
    <definedName name="beginningvaluation">#REF!</definedName>
    <definedName name="Berne">#REF!</definedName>
    <definedName name="bgtapshours">#REF!</definedName>
    <definedName name="bgtazhours">#REF!</definedName>
    <definedName name="bgtcollegehrs">#REF!</definedName>
    <definedName name="bgtinhours">#REF!</definedName>
    <definedName name="bgtkshours">#REF!</definedName>
    <definedName name="bgtonlinehrs">#REF!</definedName>
    <definedName name="bgtunivwidehours">#REF!</definedName>
    <definedName name="bgtwihours">#REF!</definedName>
    <definedName name="BNE_MESSAGES_HIDDEN" hidden="1">#REF!</definedName>
    <definedName name="Bonus">#REF!</definedName>
    <definedName name="Br">#REF!</definedName>
    <definedName name="branch">#REF!</definedName>
    <definedName name="branch_name">#REF!</definedName>
    <definedName name="branch_name2">#REF!</definedName>
    <definedName name="BREAKEVEN">#REF!</definedName>
    <definedName name="BS">#REF!</definedName>
    <definedName name="Budget">#REF!</definedName>
    <definedName name="BUDGETCATEGORY">#REF!</definedName>
    <definedName name="BUDGETDESCRIPTION">#REF!</definedName>
    <definedName name="BudgetNewnameSW" hidden="1">{#N/A,#N/A,FALSE,"Lesson Summary";#N/A,#N/A,FALSE,"601";#N/A,#N/A,FALSE,"602";#N/A,#N/A,FALSE,"603";#N/A,#N/A,FALSE,"604";#N/A,#N/A,FALSE,"701";#N/A,#N/A,FALSE,"702";#N/A,#N/A,FALSE,"703";#N/A,#N/A,FALSE,"704";#N/A,#N/A,FALSE,"801";#N/A,#N/A,FALSE,"802";#N/A,#N/A,FALSE,"803";#N/A,#N/A,FALSE,"804"}</definedName>
    <definedName name="CAP" hidden="1">{#N/A,#N/A,FALSE,"Summation";#N/A,#N/A,FALSE,"BSA";#N/A,#N/A,FALSE,"Detail1";#N/A,#N/A,FALSE,"Detail2";#N/A,#N/A,FALSE,"Detail3";#N/A,#N/A,FALSE,"WFTE_Summary";#N/A,#N/A,FALSE,"Funded_WFTE";#N/A,#N/A,FALSE,"PYADJ96"}</definedName>
    <definedName name="CAPLEASEc">#REF!</definedName>
    <definedName name="CAPLEASElt">#REF!</definedName>
    <definedName name="CASHFLOW">#REF!</definedName>
    <definedName name="CENTERS1">#REF!</definedName>
    <definedName name="Centers2">#REF!</definedName>
    <definedName name="CF">#REF!</definedName>
    <definedName name="ChildBenefit">#REF!</definedName>
    <definedName name="college">#REF!</definedName>
    <definedName name="Collegehours">#REF!</definedName>
    <definedName name="collegestudentsensitivity">#REF!</definedName>
    <definedName name="Commission">#REF!</definedName>
    <definedName name="COMPINC">#REF!</definedName>
    <definedName name="cost_acct">#REF!</definedName>
    <definedName name="cost_adj">#REF!</definedName>
    <definedName name="cost_reclass">#REF!</definedName>
    <definedName name="cost_retire">#REF!</definedName>
    <definedName name="cost_revalue">#REF!</definedName>
    <definedName name="cost_sub">#REF!</definedName>
    <definedName name="cost_transfer">#REF!</definedName>
    <definedName name="costpercredithoursensitivity">#REF!</definedName>
    <definedName name="creditloadsensitivity">#REF!</definedName>
    <definedName name="CURR">#REF!</definedName>
    <definedName name="CurrentColumnIndex">#REF!</definedName>
    <definedName name="CurrentColumnRowIndex">#REF!</definedName>
    <definedName name="CURRENTEQUITY">#REF!</definedName>
    <definedName name="CURRENTIC">#REF!</definedName>
    <definedName name="CURRENTLTDEBT">#REF!</definedName>
    <definedName name="CURRENTONTHBS">#REF!</definedName>
    <definedName name="CURRENTPROP">#REF!</definedName>
    <definedName name="CurrentRowLineItemIndex">#REF!</definedName>
    <definedName name="CURRENTSTDEBT">#REF!</definedName>
    <definedName name="data">#REF!</definedName>
    <definedName name="_xlnm.Database">#REF!</definedName>
    <definedName name="DatabaseName">#REF!</definedName>
    <definedName name="DataRange">#REF!</definedName>
    <definedName name="dddd" hidden="1">{#N/A,#N/A,FALSE,"Debt Summary Schedule";#N/A,#N/A,FALSE,"Interest Summary";#N/A,#N/A,FALSE,"Five-Year Debt Maturity"}</definedName>
    <definedName name="DEFRENT">#REF!</definedName>
    <definedName name="DEFREV">#REF!</definedName>
    <definedName name="DEP">#REF!</definedName>
    <definedName name="depr">#REF!</definedName>
    <definedName name="deprec">#REF!</definedName>
    <definedName name="dfhsf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DoubtAccts_AR">#REF!</definedName>
    <definedName name="DoubtAccts_INV">#REF!</definedName>
    <definedName name="DoubtAccts_PPE">#REF!</definedName>
    <definedName name="DTAXac">#REF!</definedName>
    <definedName name="DTAXalt">#REF!</definedName>
    <definedName name="DTAXl">#REF!</definedName>
    <definedName name="DTB">#REF!</definedName>
    <definedName name="EDIT">#REF!</definedName>
    <definedName name="Eidi">#REF!</definedName>
    <definedName name="EmployeeFlag">#REF!</definedName>
    <definedName name="EV__LASTREFTIME__" hidden="1">42101.5452430556</definedName>
    <definedName name="excesstax">#REF!</definedName>
    <definedName name="ExcessTaxBene">#REF!</definedName>
    <definedName name="Exerciseoptions">#REF!</definedName>
    <definedName name="EXPENSES">#REF!:#REF!</definedName>
    <definedName name="fa">#REF!</definedName>
    <definedName name="faculty_load">#REF!</definedName>
    <definedName name="FEBRUARY_1998_MONTHLY_List">#REF!</definedName>
    <definedName name="ffr" hidden="1">{#N/A,#N/A,FALSE,"Debt Summary Schedule";#N/A,#N/A,FALSE,"Interest Summary";#N/A,#N/A,FALSE,"Five-Year Debt Maturity"}</definedName>
    <definedName name="FileName">#REF!</definedName>
    <definedName name="foh">#REF!</definedName>
    <definedName name="form">#REF!</definedName>
    <definedName name="FourSquareAnnual">#REF!</definedName>
    <definedName name="fsa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fsd" hidden="1">{"inputs raw data",#N/A,TRUE,"INPUT"}</definedName>
    <definedName name="Fund">#REF!</definedName>
    <definedName name="FY23_0__Forecast">#REF!</definedName>
    <definedName name="GE">#REF!</definedName>
    <definedName name="GLnumbers">#REF!</definedName>
    <definedName name="GW">#REF!</definedName>
    <definedName name="hddd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hjhjh" hidden="1">{#N/A,#N/A,FALSE,"Debt Summary Schedule";#N/A,#N/A,FALSE,"Interest Summary";#N/A,#N/A,FALSE,"Five-Year Debt Maturity"}</definedName>
    <definedName name="HTML_CodePage" hidden="1">1252</definedName>
    <definedName name="HTML_Control" hidden="1">{"'AssumptionsHTML'!$B$9:$E$357","'SummationHTML'!$A$4:$J$93","'Difference'!$A$11:$K$101","'DifferenceFTE'!$A$11:$K$101","'Detail1'!$A$11:$I$97","'Detail2'!$A$11:$J$97","'Detail3'!$A$11:$J$97","'Categorical1'!$A$11:$L$97"}</definedName>
    <definedName name="HTML_Description" hidden="1">""</definedName>
    <definedName name="HTML_Email" hidden="1">""</definedName>
    <definedName name="HTML_Header" hidden="1">""</definedName>
    <definedName name="HTML_LastUpdate" hidden="1">"9/4/97"</definedName>
    <definedName name="HTML_LineAfter" hidden="1">FALSE</definedName>
    <definedName name="HTML_LineBefore" hidden="1">FALSE</definedName>
    <definedName name="HTML_Name" hidden="1">"David Montford"</definedName>
    <definedName name="HTML_OBDlg2" hidden="1">TRUE</definedName>
    <definedName name="HTML_OBDlg4" hidden="1">TRUE</definedName>
    <definedName name="HTML_OS" hidden="1">0</definedName>
    <definedName name="HTML_PathFile" hidden="1">"H:\XLFILES\test.htm"</definedName>
    <definedName name="HTML_Title" hidden="1">""</definedName>
    <definedName name="Inflation">#REF!</definedName>
    <definedName name="INFORMATION">#REF!</definedName>
    <definedName name="INhours">#REF!</definedName>
    <definedName name="INPUT">#REF!</definedName>
    <definedName name="INPUTMENU">#REF!</definedName>
    <definedName name="Insperity">#REF!</definedName>
    <definedName name="INSTRUCTION">#REF!</definedName>
    <definedName name="INTANG">#REF!</definedName>
    <definedName name="INV">#REF!</definedName>
    <definedName name="investment">#REF!</definedName>
    <definedName name="investment2">#REF!</definedName>
    <definedName name="IQ_DNTM" hidden="1">700000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LATESTK" hidden="1">1000</definedName>
    <definedName name="IQ_LATESTQ" hidden="1">500</definedName>
    <definedName name="IQ_LTMMONTH" hidden="1">120000</definedName>
    <definedName name="IQ_MTD" hidden="1">800000</definedName>
    <definedName name="IQ_NAMES_REVISION_DATE_" hidden="1">42453.9578472222</definedName>
    <definedName name="IQ_QTD" hidden="1">750000</definedName>
    <definedName name="IQ_TODAY" hidden="1">0</definedName>
    <definedName name="IQ_YTDMONTH" hidden="1">130000</definedName>
    <definedName name="IS">#REF!</definedName>
    <definedName name="Items">#REF!</definedName>
    <definedName name="jljl">#REF!</definedName>
    <definedName name="KShours">#REF!</definedName>
    <definedName name="LineItems">#REF!</definedName>
    <definedName name="lookup">#REF!</definedName>
    <definedName name="LPU">#REF!</definedName>
    <definedName name="ltintrate">#REF!</definedName>
    <definedName name="MAINMENU">#REF!</definedName>
    <definedName name="MANEMENU">#REF!</definedName>
    <definedName name="MENU">#REF!</definedName>
    <definedName name="MenuInsertColumnValues">#REF!</definedName>
    <definedName name="MenuInsertRowValues">#REF!</definedName>
    <definedName name="Merit">#REF!</definedName>
    <definedName name="MLNK1692d86561dc4f3aa236ea039e0b22c3" hidden="1">#REF!</definedName>
    <definedName name="MLNK38a3dce7522548acb6bf2bad289ad9b5" hidden="1">#REF!</definedName>
    <definedName name="MLNK3a5c4763513c4858b8dc7dd7a826736f" hidden="1">#REF!</definedName>
    <definedName name="MLNK4195bdee5eac4c898db8ec4bd6d1e483" hidden="1">#REF!</definedName>
    <definedName name="MLNK69841a8f85e444f985b21313e9689d9b" hidden="1">#REF!</definedName>
    <definedName name="MLNK732d7bb7d61d4ab2b7d59b500d900dfa" hidden="1">#REF!</definedName>
    <definedName name="MLNK7d2545b91ba24933b574d67d66f3ae37" hidden="1">#REF!</definedName>
    <definedName name="MLNK8dae4b4f3c8a4e94a1c8933cede1edbb" hidden="1">#REF!</definedName>
    <definedName name="MLNK93311115c4c54c3e9491ac5671218cb5" hidden="1">#REF!</definedName>
    <definedName name="MLNK957618c8f20945f283bf5074ac71d33a" hidden="1">#REF!</definedName>
    <definedName name="MLNK9c88f8c9871b4204839ee38daaf54a3d" hidden="1">#REF!</definedName>
    <definedName name="MLNKadc52edea0204aed9dc0f959768f9616" hidden="1">#REF!</definedName>
    <definedName name="MLNKb3932ef48f1b417187b796e84b353cdf" hidden="1">#REF!</definedName>
    <definedName name="MLNKbd9048611c4a4ba8858681d938514531" hidden="1">#REF!</definedName>
    <definedName name="MLNKc5843baef5664d93af76440f1e65e542" hidden="1">#REF!</definedName>
    <definedName name="MLNKc59de8913c064c1583f97ad781027b13" hidden="1">#REF!</definedName>
    <definedName name="MLNKc9ddafaf5cbf406cacec0a468abe6939" hidden="1">#REF!</definedName>
    <definedName name="MLNKfe9968a0181547f18f49d7bddf3a02d5" hidden="1">#REF!</definedName>
    <definedName name="MOCALC">#REF!</definedName>
    <definedName name="multiple">#REF!</definedName>
    <definedName name="NameConflict" hidden="1">{#N/A,#N/A,TRUE,"Terms";#N/A,#N/A,TRUE,"ATDS";#N/A,#N/A,TRUE,"CVRG";#N/A,#N/A,TRUE,"Pro_Forma";#N/A,#N/A,TRUE,"ADS+";#N/A,#N/A,TRUE,"Monthly"}</definedName>
    <definedName name="Net_Income">#REF!</definedName>
    <definedName name="NPc">#REF!</definedName>
    <definedName name="NPlt">#REF!</definedName>
    <definedName name="NumberOfColumnHeadingLines">#REF!</definedName>
    <definedName name="OCA">#REF!</definedName>
    <definedName name="OLTL">#REF!</definedName>
    <definedName name="ONLhours">#REF!</definedName>
    <definedName name="OverTime">#REF!</definedName>
    <definedName name="Page1">#REF!</definedName>
    <definedName name="Page2">#REF!</definedName>
    <definedName name="Payeh">#REF!</definedName>
    <definedName name="Payment">#REF!</definedName>
    <definedName name="PlanFlag">#REF!</definedName>
    <definedName name="PPD">#REF!</definedName>
    <definedName name="PPE">#REF!</definedName>
    <definedName name="PRACTICE" hidden="1">{#N/A,#N/A,FALSE,"Summation";#N/A,#N/A,FALSE,"BSA";#N/A,#N/A,FALSE,"Detail1";#N/A,#N/A,FALSE,"Detail2";#N/A,#N/A,FALSE,"Detail3";#N/A,#N/A,FALSE,"WFTE_Summary";#N/A,#N/A,FALSE,"Funded_WFTE";#N/A,#N/A,FALSE,"PYADJ96"}</definedName>
    <definedName name="PRACTOCE" hidden="1">{#N/A,#N/A,FALSE,"Summation";#N/A,#N/A,FALSE,"BSA";#N/A,#N/A,FALSE,"Detail1";#N/A,#N/A,FALSE,"Detail2";#N/A,#N/A,FALSE,"Detail3";#N/A,#N/A,FALSE,"WFTE_Summary";#N/A,#N/A,FALSE,"Funded_WFTE";#N/A,#N/A,FALSE,"PYADJ96"}</definedName>
    <definedName name="prefdiv">#REF!</definedName>
    <definedName name="PRINT">#REF!</definedName>
    <definedName name="_xlnm.Print_Area" localSheetId="0">'SCPA GV - 5 YR'!$A$1:$J$203</definedName>
    <definedName name="_xlnm.Print_Area">#REF!</definedName>
    <definedName name="Print_BS_Detail_Horizontal">#REF!</definedName>
    <definedName name="_xlnm.Print_Titles">#N/A</definedName>
    <definedName name="PRINTDETAILMENU">#REF!</definedName>
    <definedName name="PRINTMENU">#REF!</definedName>
    <definedName name="PRIOREQUITY">#REF!</definedName>
    <definedName name="PRIORIC">#REF!</definedName>
    <definedName name="PRIORLTDEBT">#REF!</definedName>
    <definedName name="PRIORMONTHBS">#REF!</definedName>
    <definedName name="PRIORPROP">#REF!</definedName>
    <definedName name="PRIORSTDEBT">#REF!</definedName>
    <definedName name="PROJECTCOST">#REF!</definedName>
    <definedName name="ProjectList">#REF!</definedName>
    <definedName name="range_value">#REF!</definedName>
    <definedName name="RCASH">#REF!</definedName>
    <definedName name="RepurchaseStock">#REF!</definedName>
    <definedName name="res_acct">#REF!</definedName>
    <definedName name="res_adds">#REF!</definedName>
    <definedName name="res_reclass">#REF!</definedName>
    <definedName name="res_retire">#REF!</definedName>
    <definedName name="res_sub">#REF!</definedName>
    <definedName name="res_transfer">#REF!</definedName>
    <definedName name="retention">#REF!</definedName>
    <definedName name="Reward">#REF!</definedName>
    <definedName name="SALARIES">#REF!</definedName>
    <definedName name="SAPBEXrevision" hidden="1">2</definedName>
    <definedName name="SAPBEXsysID" hidden="1">"PBW"</definedName>
    <definedName name="SAPBEXwbID" hidden="1">"3XEUAYA7IG9XEWFAMM9HC9V0U"</definedName>
    <definedName name="SAVEMENU">#REF!</definedName>
    <definedName name="sens2">#REF!</definedName>
    <definedName name="SENSITIVITY">#REF!</definedName>
    <definedName name="SERS.17">#REF!</definedName>
    <definedName name="ServerName">#REF!</definedName>
    <definedName name="SKU_Sub">OFFSET(#REF!,0,0,#REF!,2)</definedName>
    <definedName name="SOFT">#REF!</definedName>
    <definedName name="SortRange">#REF!</definedName>
    <definedName name="SponsorFee">#REF!</definedName>
    <definedName name="StartColumnIndex">#REF!</definedName>
    <definedName name="StartColumnRowIndex">#REF!</definedName>
    <definedName name="StartRowLineItemIndex">#REF!</definedName>
    <definedName name="STOCK2">#REF!</definedName>
    <definedName name="StockComp">#REF!</definedName>
    <definedName name="STRS.17">#REF!</definedName>
    <definedName name="teachers">#REF!,#REF!,#REF!,#REF!,#REF!</definedName>
    <definedName name="TEMP">#REF!</definedName>
    <definedName name="TextRefCopyRangeCount" hidden="1">1</definedName>
    <definedName name="Title">#REF!</definedName>
    <definedName name="Titles">#REF!</definedName>
    <definedName name="TopSection">#REF!</definedName>
    <definedName name="TOTAL">#REF!</definedName>
    <definedName name="totalrevenue">#REF!</definedName>
    <definedName name="TRANSFER3">#REF!</definedName>
    <definedName name="TRANSFERMENU">#REF!</definedName>
    <definedName name="TRANSFERMENU_1">#REF!</definedName>
    <definedName name="TRANSFERMENU1">#REF!</definedName>
    <definedName name="TRANSFERMENU2">#REF!</definedName>
    <definedName name="TRANSFERSCREEN">#REF!</definedName>
    <definedName name="TRANSFERSCREEN1">#REF!</definedName>
    <definedName name="TRANSFERSCREEN2">#REF!</definedName>
    <definedName name="Transportation">#REF!</definedName>
    <definedName name="TTL_AEC">#REF!</definedName>
    <definedName name="TTL_APP_ITEMS">#REF!</definedName>
    <definedName name="TTL_Sales">#REF!</definedName>
    <definedName name="tuitionratesensitivity">#REF!</definedName>
    <definedName name="unallocuwide2009">#REF!</definedName>
    <definedName name="Univwidehours">#REF!</definedName>
    <definedName name="Vendor1">#REF!</definedName>
    <definedName name="Vendors">#REF!</definedName>
    <definedName name="w">#REF!</definedName>
    <definedName name="wageinflfactor">#REF!</definedName>
    <definedName name="WC_SALES">#REF!</definedName>
    <definedName name="WEB">#REF!</definedName>
    <definedName name="WELCOMESCREEN">#REF!</definedName>
    <definedName name="WIhours">#REF!</definedName>
    <definedName name="wrn.Aging._.and._.Trend._.Analysis." hidden="1">{#N/A,#N/A,FALSE,"Aging Summary";#N/A,#N/A,FALSE,"Ratio Analysis";#N/A,#N/A,FALSE,"Test 120 Day Accts";#N/A,#N/A,FALSE,"Tickmarks"}</definedName>
    <definedName name="wrn.Base._.Data._.Comparison." hidden="1">{#N/A,#N/A,FALSE,"Summation";#N/A,#N/A,FALSE,"BSA";#N/A,#N/A,FALSE,"Detail1";#N/A,#N/A,FALSE,"Detail2";#N/A,#N/A,FALSE,"Detail3";#N/A,#N/A,FALSE,"WFTE_Summary";#N/A,#N/A,FALSE,"Funded_WFTE";#N/A,#N/A,FALSE,"PYADJ96"}</definedName>
    <definedName name="wrn.Cost._.Report." hidden="1">{"Cost View",#N/A,TRUE,"CP Staffing"}</definedName>
    <definedName name="wrn.Debt._.Instrument._.Report." hidden="1">{#N/A,#N/A,FALSE,"Debt Summary Schedule";#N/A,#N/A,FALSE,"Interest Summary";#N/A,#N/A,FALSE,"Five-Year Debt Maturity"}</definedName>
    <definedName name="wrn.EntireModel." hidden="1">{"cvr",#N/A,FALSE,"CVR";"sum",#N/A,FALSE,"SUM";"obal",#N/A,FALSE,"OBAL";#N/A,#N/A,FALSE,"INC1";#N/A,#N/A,FALSE,"INC2";"bal1",#N/A,FALSE,"BAL1";"inc",#N/A,FALSE,"INC";"bal",#N/A,FALSE,"BAL";"cash",#N/A,FALSE,"CASH";"debt",#N/A,FALSE,"DEBT";"eqty",#N/A,FALSE,"EQTY";"tax",#N/A,FALSE,"TAX";"depr",#N/A,FALSE,"DEPR";#N/A,#N/A,FALSE,"IRR";"strip1",#N/A,FALSE,"STRP";"fee",#N/A,FALSE,"FEE"}</definedName>
    <definedName name="wrn.Head._.Count._.Report." hidden="1">{"Head Count",#N/A,TRUE,"CP Staffing"}</definedName>
    <definedName name="wrn.Mark." hidden="1">{#N/A,#N/A,TRUE,"Terms";#N/A,#N/A,TRUE,"ATDS";#N/A,#N/A,TRUE,"CVRG";#N/A,#N/A,TRUE,"Pro_Forma";#N/A,#N/A,TRUE,"ADS+";#N/A,#N/A,TRUE,"Monthly"}</definedName>
    <definedName name="wrn.PD._.Budget." hidden="1">{#N/A,#N/A,FALSE,"Lesson Summary";#N/A,#N/A,FALSE,"601";#N/A,#N/A,FALSE,"602";#N/A,#N/A,FALSE,"603";#N/A,#N/A,FALSE,"604";#N/A,#N/A,FALSE,"701";#N/A,#N/A,FALSE,"702";#N/A,#N/A,FALSE,"703";#N/A,#N/A,FALSE,"704";#N/A,#N/A,FALSE,"801";#N/A,#N/A,FALSE,"802";#N/A,#N/A,FALSE,"803";#N/A,#N/A,FALSE,"804"}</definedName>
    <definedName name="wrn.print._.graphs." hidden="1">{"cap_structure",#N/A,FALSE,"Graph-Mkt Cap";"price",#N/A,FALSE,"Graph-Price";"ebit",#N/A,FALSE,"Graph-EBITDA";"ebitda",#N/A,FALSE,"Graph-EBITDA"}</definedName>
    <definedName name="wrn.print._.raw._.data._.entry." hidden="1">{"inputs raw data",#N/A,TRUE,"INPUT"}</definedName>
    <definedName name="wrn.print._.summary._.sheets." hidden="1">{"summary1",#N/A,TRUE,"Comps";"summary2",#N/A,TRUE,"Comps";"summary3",#N/A,TRUE,"Comps"}</definedName>
    <definedName name="wrn.rating_book." hidden="1">{#N/A,#N/A,TRUE,"Terms";#N/A,#N/A,TRUE,"ATDS";#N/A,#N/A,TRUE,"CVRG";#N/A,#N/A,TRUE,"Pro_Forma";#N/A,#N/A,TRUE,"Enrollment"}</definedName>
    <definedName name="wrn.Refunding1." hidden="1">{#N/A,#N/A,TRUE,"Terms";#N/A,#N/A,TRUE,"BP (2)";#N/A,#N/A,TRUE,"ATDS";#N/A,#N/A,TRUE,"CVRG";#N/A,#N/A,TRUE,"OUT-ADS";#N/A,#N/A,TRUE,"ESCROW"}</definedName>
    <definedName name="wrn.SecondCalc9798." hidden="1">{#N/A,#N/A,FALSE,"Cover";#N/A,#N/A,FALSE,"Contents";#N/A,#N/A,FALSE,"BSA";#N/A,#N/A,FALSE,"Detail1";#N/A,#N/A,FALSE,"Detail2";#N/A,#N/A,FALSE,"NewPCF";#N/A,#N/A,FALSE,"Lottery";#N/A,#N/A,FALSE,"DeclineFTE";#N/A,#N/A,FALSE,"Sparsity1";#N/A,#N/A,FALSE,"Sparsity2";#N/A,#N/A,FALSE,"Labs";#N/A,#N/A,FALSE,"Safe_Hou";#N/A,#N/A,FALSE,"PerformanceSupplement";#N/A,#N/A,FALSE,"Math1";#N/A,#N/A,FALSE,"Math23";#N/A,#N/A,FALSE,"Lang1";#N/A,#N/A,FALSE,"Lang23";#N/A,#N/A,FALSE,"Dropout";#N/A,#N/A,FALSE,"remred";#N/A,#N/A,FALSE,"Dropout2";#N/A,#N/A,FALSE,"MinimumPY1";#N/A,#N/A,FALSE,"MinimumPY4";#N/A,#N/A,FALSE,"MinimumPY2";#N/A,#N/A,FALSE,"MinimumPY5";#N/A,#N/A,FALSE,"MinimumCY1";#N/A,#N/A,FALSE,"MinimumCY2";#N/A,#N/A,FALSE,"MinimumCY3";#N/A,#N/A,FALSE,"MinimumCY4";#N/A,#N/A,FALSE,"MinGuarantee";#N/A,#N/A,FALSE,"MinPercent";#N/A,#N/A,FALSE,"Compression1";#N/A,#N/A,FALSE,"Compression2";#N/A,#N/A,FALSE,"Compression3";#N/A,#N/A,FALSE,"Compression4";#N/A,#N/A,FALSE,"Equalize1";#N/A,#N/A,FALSE,"AdditionalMills1";#N/A,#N/A,FALSE,"AdditionalMills2";#N/A,#N/A,FALSE,"Mills";#N/A,#N/A,FALSE,"LRE";#N/A,#N/A,FALSE,"Addon";#N/A,#N/A,FALSE,"FTESUMM";#N/A,#N/A,FALSE,"FTE2";#N/A,#N/A,FALSE,"BaseData";#N/A,#N/A,FALSE,"WFTE2";#N/A,#N/A,FALSE,"Nonvoted"}</definedName>
    <definedName name="wvu.inputs._.raw._.data.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summary1.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2.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3.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ww" hidden="1">{#N/A,#N/A,FALSE,"Debt Summary Schedule";#N/A,#N/A,FALSE,"Interest Summary";#N/A,#N/A,FALSE,"Five-Year Debt Maturity"}</definedName>
    <definedName name="XREF_COLUMN_1" hidden="1">#REF!</definedName>
    <definedName name="XREF_COLUMN_2" hidden="1">#REF!</definedName>
    <definedName name="XRefColumnsCount" hidden="1">3</definedName>
    <definedName name="XRefCopy1" hidden="1">#REF!</definedName>
    <definedName name="XRefCopy1Row" hidden="1">#REF!</definedName>
    <definedName name="XRefCopy3Row" hidden="1">#REF!</definedName>
    <definedName name="XRefCopyRangeCount" hidden="1">5</definedName>
    <definedName name="XRefPasteRangeCount" hidden="1">1</definedName>
    <definedName name="ZKAPR">#REF!</definedName>
    <definedName name="ZKAUG">#REF!</definedName>
    <definedName name="ZKDEC">#REF!</definedName>
    <definedName name="ZKFEB">#REF!</definedName>
    <definedName name="ZKJUL">#REF!</definedName>
    <definedName name="ZKJUN">#REF!</definedName>
    <definedName name="ZKMAR">#REF!</definedName>
    <definedName name="ZKMAY">#REF!</definedName>
    <definedName name="ZKNOV">#REF!</definedName>
    <definedName name="ZKOCT">#REF!</definedName>
    <definedName name="ZKSEP">#REF!</definedName>
    <definedName name="ZOAPR">#REF!</definedName>
    <definedName name="ZOAUG">#REF!</definedName>
    <definedName name="ZODEC">#REF!</definedName>
    <definedName name="ZOFEB">#REF!</definedName>
    <definedName name="ZOJUL">#REF!</definedName>
    <definedName name="ZOJUN">#REF!</definedName>
    <definedName name="ZOMAR">#REF!</definedName>
    <definedName name="ZOMAY">#REF!</definedName>
    <definedName name="ZONOV">#REF!</definedName>
    <definedName name="ZOOCT">#REF!</definedName>
    <definedName name="ZOSEP">#REF!</definedName>
    <definedName name="ZPAPR">#REF!</definedName>
    <definedName name="ZPAUG">#REF!</definedName>
    <definedName name="ZPDEC">#REF!</definedName>
    <definedName name="ZPFEB">#REF!</definedName>
    <definedName name="ZPJUL">#REF!</definedName>
    <definedName name="ZPJUN">#REF!</definedName>
    <definedName name="ZPMAR">#REF!</definedName>
    <definedName name="ZPMAY">#REF!</definedName>
    <definedName name="ZPNOV">#REF!</definedName>
    <definedName name="ZPOCT">#REF!</definedName>
    <definedName name="ZPSEP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" i="1" l="1"/>
  <c r="E199" i="1"/>
  <c r="H199" i="1" s="1"/>
  <c r="E198" i="1"/>
  <c r="H198" i="1"/>
  <c r="C194" i="1"/>
  <c r="B192" i="1"/>
  <c r="B136" i="1"/>
  <c r="J121" i="1"/>
  <c r="I121" i="1"/>
  <c r="H121" i="1"/>
  <c r="G121" i="1"/>
  <c r="F121" i="1"/>
  <c r="E121" i="1"/>
  <c r="D121" i="1"/>
  <c r="C121" i="1"/>
  <c r="J206" i="1"/>
  <c r="J208" i="1" s="1"/>
  <c r="E206" i="1"/>
  <c r="E208" i="1" s="1"/>
  <c r="D206" i="1"/>
  <c r="D208" i="1" s="1"/>
  <c r="C206" i="1"/>
  <c r="C208" i="1" s="1"/>
  <c r="G127" i="1"/>
  <c r="E127" i="1"/>
  <c r="D127" i="1"/>
  <c r="C127" i="1"/>
  <c r="J97" i="1"/>
  <c r="I97" i="1"/>
  <c r="H97" i="1"/>
  <c r="G97" i="1"/>
  <c r="F97" i="1"/>
  <c r="E97" i="1"/>
  <c r="D97" i="1"/>
  <c r="C97" i="1"/>
  <c r="F96" i="1"/>
  <c r="C96" i="1"/>
  <c r="D90" i="1"/>
  <c r="D89" i="1"/>
  <c r="B88" i="1"/>
  <c r="I87" i="1"/>
  <c r="J81" i="1"/>
  <c r="I81" i="1"/>
  <c r="H81" i="1"/>
  <c r="G81" i="1"/>
  <c r="F81" i="1"/>
  <c r="E81" i="1"/>
  <c r="D81" i="1"/>
  <c r="C81" i="1"/>
  <c r="J73" i="1"/>
  <c r="I73" i="1"/>
  <c r="H73" i="1"/>
  <c r="G73" i="1"/>
  <c r="F73" i="1"/>
  <c r="E73" i="1"/>
  <c r="D73" i="1"/>
  <c r="C73" i="1"/>
  <c r="J69" i="1"/>
  <c r="I69" i="1"/>
  <c r="H69" i="1"/>
  <c r="G69" i="1"/>
  <c r="F69" i="1"/>
  <c r="J68" i="1"/>
  <c r="I68" i="1"/>
  <c r="H68" i="1"/>
  <c r="H51" i="1" s="1"/>
  <c r="G68" i="1"/>
  <c r="G51" i="1" s="1"/>
  <c r="F68" i="1"/>
  <c r="J67" i="1"/>
  <c r="J125" i="1" s="1"/>
  <c r="I67" i="1"/>
  <c r="H67" i="1"/>
  <c r="G67" i="1"/>
  <c r="F67" i="1"/>
  <c r="J47" i="1"/>
  <c r="I47" i="1"/>
  <c r="H47" i="1"/>
  <c r="G47" i="1"/>
  <c r="F47" i="1"/>
  <c r="E47" i="1"/>
  <c r="D47" i="1"/>
  <c r="D51" i="1" s="1"/>
  <c r="C47" i="1"/>
  <c r="C51" i="1" s="1"/>
  <c r="C130" i="1" s="1"/>
  <c r="I125" i="1"/>
  <c r="H125" i="1"/>
  <c r="G125" i="1"/>
  <c r="E125" i="1"/>
  <c r="D125" i="1"/>
  <c r="C125" i="1"/>
  <c r="J31" i="1"/>
  <c r="J34" i="1" s="1"/>
  <c r="J132" i="1" s="1"/>
  <c r="I31" i="1"/>
  <c r="I34" i="1" s="1"/>
  <c r="I132" i="1" s="1"/>
  <c r="H31" i="1"/>
  <c r="H34" i="1" s="1"/>
  <c r="H132" i="1" s="1"/>
  <c r="G31" i="1"/>
  <c r="F31" i="1"/>
  <c r="E31" i="1"/>
  <c r="D31" i="1"/>
  <c r="C31" i="1"/>
  <c r="F30" i="1"/>
  <c r="J128" i="1"/>
  <c r="I128" i="1"/>
  <c r="H128" i="1"/>
  <c r="G128" i="1"/>
  <c r="F128" i="1"/>
  <c r="E128" i="1"/>
  <c r="D128" i="1"/>
  <c r="C128" i="1"/>
  <c r="J26" i="1"/>
  <c r="I26" i="1"/>
  <c r="H26" i="1"/>
  <c r="G26" i="1"/>
  <c r="G80" i="1" s="1"/>
  <c r="F26" i="1"/>
  <c r="E26" i="1"/>
  <c r="E80" i="1" s="1"/>
  <c r="D26" i="1"/>
  <c r="D80" i="1" s="1"/>
  <c r="C26" i="1"/>
  <c r="C34" i="1" s="1"/>
  <c r="E20" i="1"/>
  <c r="D20" i="1"/>
  <c r="J18" i="1"/>
  <c r="J20" i="1" s="1"/>
  <c r="I18" i="1"/>
  <c r="I20" i="1" s="1"/>
  <c r="H18" i="1"/>
  <c r="G18" i="1"/>
  <c r="F18" i="1"/>
  <c r="E18" i="1"/>
  <c r="D18" i="1"/>
  <c r="C18" i="1"/>
  <c r="C20" i="1" s="1"/>
  <c r="C72" i="1" s="1"/>
  <c r="C74" i="1" s="1"/>
  <c r="C76" i="1" s="1"/>
  <c r="D8" i="1"/>
  <c r="D92" i="1" s="1"/>
  <c r="D7" i="1"/>
  <c r="D91" i="1" s="1"/>
  <c r="B89" i="1"/>
  <c r="J87" i="1"/>
  <c r="B87" i="1"/>
  <c r="B86" i="1"/>
  <c r="C80" i="1" l="1"/>
  <c r="C82" i="1" s="1"/>
  <c r="C84" i="1" s="1"/>
  <c r="I80" i="1"/>
  <c r="I82" i="1" s="1"/>
  <c r="I84" i="1" s="1"/>
  <c r="J80" i="1"/>
  <c r="J82" i="1" s="1"/>
  <c r="J84" i="1" s="1"/>
  <c r="D82" i="1"/>
  <c r="D84" i="1" s="1"/>
  <c r="H130" i="1"/>
  <c r="G82" i="1"/>
  <c r="G84" i="1" s="1"/>
  <c r="I51" i="1"/>
  <c r="I130" i="1" s="1"/>
  <c r="E82" i="1"/>
  <c r="E84" i="1" s="1"/>
  <c r="J51" i="1"/>
  <c r="J230" i="1"/>
  <c r="J129" i="1"/>
  <c r="J72" i="1"/>
  <c r="J74" i="1" s="1"/>
  <c r="J76" i="1" s="1"/>
  <c r="J37" i="1"/>
  <c r="J236" i="1" s="1"/>
  <c r="I72" i="1"/>
  <c r="I74" i="1" s="1"/>
  <c r="I76" i="1" s="1"/>
  <c r="I230" i="1"/>
  <c r="I129" i="1"/>
  <c r="I37" i="1"/>
  <c r="D130" i="1"/>
  <c r="F51" i="1"/>
  <c r="G130" i="1"/>
  <c r="C131" i="1"/>
  <c r="C132" i="1"/>
  <c r="H20" i="1"/>
  <c r="D34" i="1"/>
  <c r="D132" i="1" s="1"/>
  <c r="D72" i="1"/>
  <c r="D74" i="1" s="1"/>
  <c r="D76" i="1" s="1"/>
  <c r="H80" i="1"/>
  <c r="H82" i="1" s="1"/>
  <c r="H84" i="1" s="1"/>
  <c r="F127" i="1"/>
  <c r="F206" i="1"/>
  <c r="F208" i="1" s="1"/>
  <c r="E34" i="1"/>
  <c r="E132" i="1" s="1"/>
  <c r="E72" i="1"/>
  <c r="E74" i="1" s="1"/>
  <c r="E76" i="1" s="1"/>
  <c r="C129" i="1"/>
  <c r="G206" i="1"/>
  <c r="G208" i="1" s="1"/>
  <c r="C230" i="1"/>
  <c r="F34" i="1"/>
  <c r="F132" i="1" s="1"/>
  <c r="H127" i="1"/>
  <c r="D129" i="1"/>
  <c r="E197" i="1"/>
  <c r="E202" i="1" s="1"/>
  <c r="H206" i="1"/>
  <c r="H208" i="1" s="1"/>
  <c r="D230" i="1"/>
  <c r="G34" i="1"/>
  <c r="G132" i="1" s="1"/>
  <c r="E51" i="1"/>
  <c r="E130" i="1" s="1"/>
  <c r="I127" i="1"/>
  <c r="E129" i="1"/>
  <c r="F197" i="1"/>
  <c r="F202" i="1" s="1"/>
  <c r="F205" i="1" s="1"/>
  <c r="I206" i="1"/>
  <c r="I208" i="1" s="1"/>
  <c r="E230" i="1"/>
  <c r="J127" i="1"/>
  <c r="D202" i="1"/>
  <c r="F20" i="1"/>
  <c r="G20" i="1"/>
  <c r="F125" i="1"/>
  <c r="F80" i="1"/>
  <c r="F82" i="1" s="1"/>
  <c r="F84" i="1" s="1"/>
  <c r="C37" i="1"/>
  <c r="J130" i="1" l="1"/>
  <c r="E37" i="1"/>
  <c r="F37" i="1"/>
  <c r="F230" i="1"/>
  <c r="F232" i="1" s="1"/>
  <c r="F129" i="1"/>
  <c r="F72" i="1"/>
  <c r="F74" i="1" s="1"/>
  <c r="F76" i="1" s="1"/>
  <c r="E55" i="1"/>
  <c r="E126" i="1"/>
  <c r="E236" i="1"/>
  <c r="E238" i="1" s="1"/>
  <c r="G202" i="1"/>
  <c r="D37" i="1"/>
  <c r="J126" i="1"/>
  <c r="J55" i="1"/>
  <c r="H72" i="1"/>
  <c r="H74" i="1" s="1"/>
  <c r="H76" i="1" s="1"/>
  <c r="H230" i="1"/>
  <c r="H129" i="1"/>
  <c r="H37" i="1"/>
  <c r="H197" i="1"/>
  <c r="I126" i="1"/>
  <c r="I55" i="1"/>
  <c r="I236" i="1"/>
  <c r="C55" i="1"/>
  <c r="C59" i="1" s="1"/>
  <c r="C126" i="1"/>
  <c r="F130" i="1"/>
  <c r="G230" i="1"/>
  <c r="G129" i="1"/>
  <c r="G72" i="1"/>
  <c r="G74" i="1" s="1"/>
  <c r="G76" i="1" s="1"/>
  <c r="G37" i="1"/>
  <c r="C236" i="1"/>
  <c r="D55" i="1" l="1"/>
  <c r="D126" i="1"/>
  <c r="D236" i="1"/>
  <c r="C62" i="1"/>
  <c r="D57" i="1"/>
  <c r="D131" i="1" s="1"/>
  <c r="H126" i="1"/>
  <c r="H55" i="1"/>
  <c r="H236" i="1"/>
  <c r="G126" i="1"/>
  <c r="G55" i="1"/>
  <c r="G236" i="1"/>
  <c r="F126" i="1"/>
  <c r="F55" i="1"/>
  <c r="F236" i="1"/>
  <c r="F238" i="1" s="1"/>
  <c r="D59" i="1" l="1"/>
  <c r="D62" i="1" l="1"/>
  <c r="E57" i="1"/>
  <c r="E131" i="1" l="1"/>
  <c r="E59" i="1"/>
  <c r="E62" i="1" l="1"/>
  <c r="F57" i="1"/>
  <c r="F131" i="1" l="1"/>
  <c r="F59" i="1"/>
  <c r="F62" i="1" l="1"/>
  <c r="G57" i="1"/>
  <c r="G131" i="1" l="1"/>
  <c r="G59" i="1"/>
  <c r="H57" i="1" l="1"/>
  <c r="G62" i="1"/>
  <c r="G63" i="1" s="1"/>
  <c r="H131" i="1" l="1"/>
  <c r="H59" i="1"/>
  <c r="I57" i="1" l="1"/>
  <c r="H62" i="1"/>
  <c r="H63" i="1" s="1"/>
  <c r="I131" i="1" l="1"/>
  <c r="I59" i="1"/>
  <c r="J57" i="1" l="1"/>
  <c r="I62" i="1"/>
  <c r="I63" i="1" s="1"/>
  <c r="J131" i="1" l="1"/>
  <c r="J59" i="1"/>
  <c r="J62" i="1" s="1"/>
  <c r="J63" i="1" s="1"/>
</calcChain>
</file>

<file path=xl/sharedStrings.xml><?xml version="1.0" encoding="utf-8"?>
<sst xmlns="http://schemas.openxmlformats.org/spreadsheetml/2006/main" count="169" uniqueCount="142">
  <si>
    <t>IRN No.:  016829</t>
  </si>
  <si>
    <t>County:</t>
  </si>
  <si>
    <t>Franklin</t>
  </si>
  <si>
    <t>Type of School: Brick &amp; Mortar</t>
  </si>
  <si>
    <t>Contract Term: 06/30/27</t>
  </si>
  <si>
    <t>South Columbus Preparatory Academy at German Village</t>
  </si>
  <si>
    <t>Statement of Receipt, Disbursements, and Changes in Fund Cash Balances</t>
  </si>
  <si>
    <t>Actual</t>
  </si>
  <si>
    <t>Forecasted</t>
  </si>
  <si>
    <t>FY2021</t>
  </si>
  <si>
    <t>FY2022</t>
  </si>
  <si>
    <t>FY2023</t>
  </si>
  <si>
    <t>FY2024</t>
  </si>
  <si>
    <t>FY2025</t>
  </si>
  <si>
    <t>FY2026</t>
  </si>
  <si>
    <t>FY2027</t>
  </si>
  <si>
    <t>FY2028</t>
  </si>
  <si>
    <t>Operating Receipts</t>
  </si>
  <si>
    <t>State Foundation Payments (3110, 3211)</t>
  </si>
  <si>
    <t>Charges for Services (1500)</t>
  </si>
  <si>
    <t>Fees (1600, 1700)</t>
  </si>
  <si>
    <t>Other (1830, 1840, 1850, 1860, 1870, 1890, 3190)</t>
  </si>
  <si>
    <t>Total Operating Receipts</t>
  </si>
  <si>
    <t>Operating Disbursements</t>
  </si>
  <si>
    <t>100 Salaries and Wages</t>
  </si>
  <si>
    <t>200 Employee Retirement and Insurance Benefits</t>
  </si>
  <si>
    <t>YE Audit Accounts</t>
  </si>
  <si>
    <t>400 Purchased Services</t>
  </si>
  <si>
    <t>500 Supplies and Materials</t>
  </si>
  <si>
    <t>600 Capital Outlay - New</t>
  </si>
  <si>
    <t>700 Capital Outlay - Replacement</t>
  </si>
  <si>
    <t>800 Other</t>
  </si>
  <si>
    <t>819 Other Debt</t>
  </si>
  <si>
    <t>Total Operating Disbursements</t>
  </si>
  <si>
    <t>Excess of Operating Receipts Over (Under)</t>
  </si>
  <si>
    <t>Nonoperating Receipts/(Disbursements)</t>
  </si>
  <si>
    <t>Federal Grants (all 4000 except fund 532)</t>
  </si>
  <si>
    <t>State Grants (3200, except 3211)</t>
  </si>
  <si>
    <t>Restricted Grants (3219, Community School Facilities Grant)</t>
  </si>
  <si>
    <t>Donations (1820)</t>
  </si>
  <si>
    <t>Interest Income (1400)</t>
  </si>
  <si>
    <t>Debt Proceeds (1900)</t>
  </si>
  <si>
    <t>Debt Principal Retirement</t>
  </si>
  <si>
    <t>Interest and Fiscal Charges</t>
  </si>
  <si>
    <t>Transfers - In</t>
  </si>
  <si>
    <t>Transfers - Out</t>
  </si>
  <si>
    <t>Total Nonoperating Revenues/(Expenses)</t>
  </si>
  <si>
    <t>Excess of Operating and Nonoperating Receipts</t>
  </si>
  <si>
    <t>Over/(Under) Operating and Nonoperating</t>
  </si>
  <si>
    <t>Disbursements</t>
  </si>
  <si>
    <t>Fund Cash Balance Beginning of Fiscal Year</t>
  </si>
  <si>
    <t>Fund Cash Balance End of Fiscal Year</t>
  </si>
  <si>
    <t>Cash Pull from Adaptive</t>
  </si>
  <si>
    <t>Cash Balance Check</t>
  </si>
  <si>
    <t>Manual Cash Adjustment (positive for balance increase, negative for paydown)</t>
  </si>
  <si>
    <t>Payables</t>
  </si>
  <si>
    <t>CSC Advances</t>
  </si>
  <si>
    <t>CSC Paydown</t>
  </si>
  <si>
    <t>CSC Draw</t>
  </si>
  <si>
    <t>Total Manual Adjustments</t>
  </si>
  <si>
    <t>SUMMARY CHECKS</t>
  </si>
  <si>
    <t>State Revenue</t>
  </si>
  <si>
    <t>Other Revenue</t>
  </si>
  <si>
    <t>Total Revenue</t>
  </si>
  <si>
    <t>Adaptive Revenue</t>
  </si>
  <si>
    <t>Check</t>
  </si>
  <si>
    <t>Operating Expenses</t>
  </si>
  <si>
    <t>Non Operating Expenses</t>
  </si>
  <si>
    <t>Total Expenses</t>
  </si>
  <si>
    <t>Adaptive Expenses</t>
  </si>
  <si>
    <t>Staffing/Enrollment</t>
  </si>
  <si>
    <t>Total Student FTE</t>
  </si>
  <si>
    <t>Instructional Staff</t>
  </si>
  <si>
    <t>Administrative Staff</t>
  </si>
  <si>
    <t>Other Staff</t>
  </si>
  <si>
    <t>Purchased Services</t>
  </si>
  <si>
    <t>Rent</t>
  </si>
  <si>
    <t>Utilities</t>
  </si>
  <si>
    <t>Other Facility Costs</t>
  </si>
  <si>
    <t>Insurance</t>
  </si>
  <si>
    <t>Management Fee</t>
  </si>
  <si>
    <t>Sponsor Fee</t>
  </si>
  <si>
    <t>Audit Fee</t>
  </si>
  <si>
    <t>Transportation</t>
  </si>
  <si>
    <t>Legal</t>
  </si>
  <si>
    <t>Marketing</t>
  </si>
  <si>
    <t>Consulting</t>
  </si>
  <si>
    <t>Salaries and Wages</t>
  </si>
  <si>
    <t>Employee Benefits</t>
  </si>
  <si>
    <t>Special Education Services</t>
  </si>
  <si>
    <t>Technology Services</t>
  </si>
  <si>
    <t>Food Services</t>
  </si>
  <si>
    <t>Other</t>
  </si>
  <si>
    <t>Total</t>
  </si>
  <si>
    <t>Financial Metrics</t>
  </si>
  <si>
    <t>Debt Service Payments</t>
  </si>
  <si>
    <t>Debt Service Coverage</t>
  </si>
  <si>
    <t>Growth in Enrollment</t>
  </si>
  <si>
    <t>Growth in New Capital Outlay</t>
  </si>
  <si>
    <t>Growth in Operating Receipts</t>
  </si>
  <si>
    <t>Growth in Non-Operating Receipts/Expenses</t>
  </si>
  <si>
    <t>Days of Cash</t>
  </si>
  <si>
    <t>Total Expenditures / FTE</t>
  </si>
  <si>
    <t>Assumptions Narrative Summary</t>
  </si>
  <si>
    <t/>
  </si>
  <si>
    <t>Proposed FY2025 Budget Assumptions:</t>
  </si>
  <si>
    <t>Enrollment:</t>
  </si>
  <si>
    <t xml:space="preserve">- Assumed FY2025 Total Headcount Enrollment of 284. </t>
  </si>
  <si>
    <t xml:space="preserve">- Final funded FTEs for FY2025 is assumed to be 274. </t>
  </si>
  <si>
    <t>Enrollment Assumptions by Grade:</t>
  </si>
  <si>
    <t>Insert pic from pg 1 enrollment</t>
  </si>
  <si>
    <t>Revenue:</t>
  </si>
  <si>
    <t>- In January 2022, the ODE implemented increased state support as passed by legislation Ohio House Bill 110.</t>
  </si>
  <si>
    <t>- FY2025 miscellaneous funding is forecasted based on FY2024 levels.</t>
  </si>
  <si>
    <t>- As of the end of FY2024, the ESSER program has concluded.</t>
  </si>
  <si>
    <t>- All other FY2025 federal grant revenues are based upon current allocations.</t>
  </si>
  <si>
    <t>Staffing:</t>
  </si>
  <si>
    <t>- Salary increases for FY2025 are assumed to be 3%.</t>
  </si>
  <si>
    <t>- It is assumed that the employer paid SERS/STRS rate for FY2025 will remain at 14%.</t>
  </si>
  <si>
    <t>- It is assumed that the employer paid benefits rate for FY2025 will remain at 20%.</t>
  </si>
  <si>
    <t>- It is assumed that the employer paid payroll tax rate for FY2025 is 1.45%.</t>
  </si>
  <si>
    <t>Key Non-Payroll Related Expenses:</t>
  </si>
  <si>
    <t>- Sponsor Fees are projected for FY2025 as a percent of state revenue at 3% per the terms of the sponsor agreement.</t>
  </si>
  <si>
    <t xml:space="preserve">- Management fees for Accel Schools are included in this forecast at 13.5% of revenue per the terms of the management agreement. </t>
  </si>
  <si>
    <t>- Rent is assumed to be zero but is offset with interest expense related to building purchase and assumed to be 13% of revenue.</t>
  </si>
  <si>
    <t>- The majority of other operating expenses are assumed to grow at 3% in FY2025 over FY2024 levels.</t>
  </si>
  <si>
    <t xml:space="preserve">In January 2022, the ODE implemented increased state support as passed by legislation Ohio House Bill 110. Increased funding is expected over a six year period, FY2022-FY2027, with each community school generating a different base cost amount. FY2025 per pupil state aid funding is $9,411, a 8.3% change vs. FY2024 per pupil state aid funding of $8,689. Funded FTEs will grow to 274, 300, 324, and 348 in FY2025 - FY2028. Ohio House Bill 33 (Community Equity Funding) provides funding in FY2024 - FY2025 at $650 per pupil. It is assumed that for every additional 25 students enrolled each year, one teacher will be added to the staff at a starting annual salary of $50,000. Federal grants are inclusive of ESSER Funding through FY2024.Related expenses decline with the end of ESSER funding. Rent for FY2024-FY2028 is zero but is offset with interest expense related to building purchase assumed to be 13% of revenue. Management fees for Accel Schools are included in this forecast at 13.5% of revenue per the terms of the management agreement. Sponsor Fees projected for FY2025 as a percent of state revenue at 3%. Food expense is expected to align with enrollment. Interest and fiscal expenses are not limited to debt; total includes loan interest, bank and credit card fees as well as other fiscal charges. A majority of operating expenses are assumed to grow 3% year over year. </t>
  </si>
  <si>
    <t>Description</t>
  </si>
  <si>
    <t>Beginning
Year Balance</t>
  </si>
  <si>
    <t>Principal Retirement</t>
  </si>
  <si>
    <t>Interest Expense</t>
  </si>
  <si>
    <t>Ending
Year Balance</t>
  </si>
  <si>
    <t>Debtor
Creditor</t>
  </si>
  <si>
    <t>Loan A</t>
  </si>
  <si>
    <t>Loan B</t>
  </si>
  <si>
    <t>Loan C</t>
  </si>
  <si>
    <t>Payables (Past Due 180+ days)</t>
  </si>
  <si>
    <t>Revenue</t>
  </si>
  <si>
    <t>Revenue from pg.3</t>
  </si>
  <si>
    <t>Variance</t>
  </si>
  <si>
    <t>Surplus/Deficit Check</t>
  </si>
  <si>
    <t>Surplus/Deficit Check from pg.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</si>
</sst>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_(&quot;$&quot;* #,##0_);_(&quot;$&quot;* \(#,##0\);_(&quot;$&quot;* &quot;-&quot;??_);_(@_)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name val="Arial"/>
      <family val="2"/>
    </font>
    <font>
      <sz val="11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BDBDB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8" fillId="0" borderId="0"/>
  </cellStyleXfs>
  <cellXfs count="219">
    <xf numFmtId="0" fontId="0" fillId="0" borderId="0" xfId="0"/>
    <xf numFmtId="0" fontId="0" fillId="2" borderId="0" xfId="0" applyFill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/>
    <xf numFmtId="0" fontId="6" fillId="0" borderId="0" xfId="0" applyFont="1"/>
    <xf numFmtId="0" fontId="7" fillId="0" borderId="1" xfId="0" applyFont="1" applyBorder="1" applyAlignment="1" applyProtection="1">
      <alignment vertical="center"/>
      <protection locked="0"/>
    </xf>
    <xf numFmtId="0" fontId="5" fillId="3" borderId="2" xfId="0" applyFont="1" applyFill="1" applyBorder="1"/>
    <xf numFmtId="0" fontId="5" fillId="0" borderId="2" xfId="0" applyFont="1" applyBorder="1"/>
    <xf numFmtId="0" fontId="5" fillId="0" borderId="3" xfId="0" applyFont="1" applyBorder="1"/>
    <xf numFmtId="0" fontId="7" fillId="0" borderId="4" xfId="0" applyFont="1" applyBorder="1" applyAlignment="1" applyProtection="1">
      <alignment vertical="center"/>
      <protection locked="0"/>
    </xf>
    <xf numFmtId="0" fontId="7" fillId="3" borderId="0" xfId="0" applyFont="1" applyFill="1"/>
    <xf numFmtId="0" fontId="7" fillId="0" borderId="0" xfId="0" applyFont="1"/>
    <xf numFmtId="0" fontId="7" fillId="0" borderId="0" xfId="0" applyFont="1" applyAlignment="1">
      <alignment horizontal="right"/>
    </xf>
    <xf numFmtId="0" fontId="8" fillId="0" borderId="5" xfId="0" quotePrefix="1" applyFont="1" applyBorder="1"/>
    <xf numFmtId="0" fontId="7" fillId="0" borderId="4" xfId="0" applyFont="1" applyBorder="1" applyAlignment="1">
      <alignment vertical="center"/>
    </xf>
    <xf numFmtId="0" fontId="9" fillId="3" borderId="0" xfId="0" applyFont="1" applyFill="1"/>
    <xf numFmtId="0" fontId="9" fillId="0" borderId="0" xfId="0" applyFont="1"/>
    <xf numFmtId="0" fontId="9" fillId="0" borderId="5" xfId="0" applyFont="1" applyBorder="1"/>
    <xf numFmtId="0" fontId="9" fillId="3" borderId="0" xfId="0" applyFont="1" applyFill="1" applyAlignment="1">
      <alignment horizontal="right"/>
    </xf>
    <xf numFmtId="0" fontId="9" fillId="2" borderId="0" xfId="0" quotePrefix="1" applyFont="1" applyFill="1" applyAlignment="1">
      <alignment horizontal="centerContinuous"/>
    </xf>
    <xf numFmtId="0" fontId="9" fillId="3" borderId="0" xfId="0" applyFont="1" applyFill="1" applyAlignment="1">
      <alignment horizontal="centerContinuous"/>
    </xf>
    <xf numFmtId="0" fontId="9" fillId="0" borderId="0" xfId="0" applyFont="1" applyAlignment="1">
      <alignment horizontal="centerContinuous"/>
    </xf>
    <xf numFmtId="0" fontId="6" fillId="0" borderId="4" xfId="0" applyFont="1" applyBorder="1"/>
    <xf numFmtId="0" fontId="6" fillId="3" borderId="0" xfId="0" applyFont="1" applyFill="1"/>
    <xf numFmtId="0" fontId="8" fillId="3" borderId="0" xfId="0" applyFont="1" applyFill="1" applyAlignment="1" applyProtection="1">
      <alignment horizontal="centerContinuous"/>
      <protection locked="0"/>
    </xf>
    <xf numFmtId="0" fontId="8" fillId="0" borderId="0" xfId="0" applyFont="1" applyAlignment="1" applyProtection="1">
      <alignment horizontal="centerContinuous"/>
      <protection locked="0"/>
    </xf>
    <xf numFmtId="0" fontId="8" fillId="0" borderId="0" xfId="0" applyFont="1" applyProtection="1">
      <protection locked="0"/>
    </xf>
    <xf numFmtId="0" fontId="8" fillId="0" borderId="5" xfId="0" applyFont="1" applyBorder="1" applyAlignment="1" applyProtection="1">
      <alignment horizontal="center"/>
      <protection locked="0"/>
    </xf>
    <xf numFmtId="0" fontId="0" fillId="0" borderId="7" xfId="0" applyBorder="1"/>
    <xf numFmtId="0" fontId="8" fillId="3" borderId="8" xfId="0" applyFont="1" applyFill="1" applyBorder="1" applyAlignment="1" applyProtection="1">
      <alignment horizontal="center"/>
      <protection locked="0"/>
    </xf>
    <xf numFmtId="0" fontId="8" fillId="0" borderId="8" xfId="0" applyFont="1" applyBorder="1" applyAlignment="1" applyProtection="1">
      <alignment horizontal="center"/>
      <protection locked="0"/>
    </xf>
    <xf numFmtId="0" fontId="8" fillId="0" borderId="9" xfId="0" applyFont="1" applyBorder="1" applyAlignment="1" applyProtection="1">
      <alignment horizontal="center"/>
      <protection locked="0"/>
    </xf>
    <xf numFmtId="0" fontId="0" fillId="0" borderId="4" xfId="0" applyBorder="1"/>
    <xf numFmtId="0" fontId="8" fillId="3" borderId="0" xfId="0" applyFont="1" applyFill="1" applyAlignment="1" applyProtection="1">
      <alignment horizontal="center"/>
      <protection locked="0"/>
    </xf>
    <xf numFmtId="0" fontId="8" fillId="0" borderId="0" xfId="0" applyFont="1" applyAlignment="1" applyProtection="1">
      <alignment horizontal="center"/>
      <protection locked="0"/>
    </xf>
    <xf numFmtId="0" fontId="0" fillId="0" borderId="1" xfId="0" applyBorder="1"/>
    <xf numFmtId="0" fontId="3" fillId="4" borderId="10" xfId="0" applyFont="1" applyFill="1" applyBorder="1" applyAlignment="1">
      <alignment horizontal="centerContinuous"/>
    </xf>
    <xf numFmtId="0" fontId="3" fillId="4" borderId="11" xfId="0" applyFont="1" applyFill="1" applyBorder="1" applyAlignment="1">
      <alignment horizontal="centerContinuous"/>
    </xf>
    <xf numFmtId="0" fontId="3" fillId="4" borderId="12" xfId="0" applyFont="1" applyFill="1" applyBorder="1" applyAlignment="1">
      <alignment horizontal="centerContinuous"/>
    </xf>
    <xf numFmtId="0" fontId="3" fillId="5" borderId="10" xfId="0" applyFont="1" applyFill="1" applyBorder="1" applyAlignment="1">
      <alignment horizontal="centerContinuous"/>
    </xf>
    <xf numFmtId="0" fontId="3" fillId="5" borderId="11" xfId="0" applyFont="1" applyFill="1" applyBorder="1" applyAlignment="1">
      <alignment horizontal="centerContinuous"/>
    </xf>
    <xf numFmtId="0" fontId="3" fillId="5" borderId="12" xfId="0" applyFont="1" applyFill="1" applyBorder="1" applyAlignment="1">
      <alignment horizontal="centerContinuous"/>
    </xf>
    <xf numFmtId="0" fontId="0" fillId="0" borderId="16" xfId="0" applyBorder="1"/>
    <xf numFmtId="0" fontId="3" fillId="6" borderId="17" xfId="0" quotePrefix="1" applyFont="1" applyFill="1" applyBorder="1" applyAlignment="1">
      <alignment horizontal="center"/>
    </xf>
    <xf numFmtId="0" fontId="3" fillId="0" borderId="17" xfId="0" quotePrefix="1" applyFont="1" applyBorder="1" applyAlignment="1">
      <alignment horizontal="center"/>
    </xf>
    <xf numFmtId="0" fontId="0" fillId="0" borderId="21" xfId="0" applyBorder="1"/>
    <xf numFmtId="164" fontId="0" fillId="4" borderId="4" xfId="1" applyNumberFormat="1" applyFont="1" applyFill="1" applyBorder="1" applyAlignment="1">
      <alignment horizontal="center"/>
    </xf>
    <xf numFmtId="164" fontId="0" fillId="4" borderId="0" xfId="1" applyNumberFormat="1" applyFont="1" applyFill="1" applyBorder="1" applyAlignment="1">
      <alignment horizontal="center"/>
    </xf>
    <xf numFmtId="164" fontId="0" fillId="4" borderId="22" xfId="1" applyNumberFormat="1" applyFont="1" applyFill="1" applyBorder="1" applyAlignment="1">
      <alignment horizontal="center"/>
    </xf>
    <xf numFmtId="164" fontId="0" fillId="0" borderId="23" xfId="1" applyNumberFormat="1" applyFont="1" applyFill="1" applyBorder="1" applyAlignment="1">
      <alignment horizontal="center"/>
    </xf>
    <xf numFmtId="164" fontId="0" fillId="0" borderId="0" xfId="1" applyNumberFormat="1" applyFont="1" applyFill="1" applyBorder="1" applyAlignment="1">
      <alignment horizontal="center"/>
    </xf>
    <xf numFmtId="164" fontId="0" fillId="0" borderId="5" xfId="1" applyNumberFormat="1" applyFont="1" applyFill="1" applyBorder="1" applyAlignment="1">
      <alignment horizontal="center"/>
    </xf>
    <xf numFmtId="0" fontId="11" fillId="0" borderId="21" xfId="0" applyFont="1" applyBorder="1"/>
    <xf numFmtId="164" fontId="0" fillId="4" borderId="13" xfId="1" applyNumberFormat="1" applyFont="1" applyFill="1" applyBorder="1" applyAlignment="1">
      <alignment horizontal="center"/>
    </xf>
    <xf numFmtId="164" fontId="0" fillId="4" borderId="14" xfId="1" applyNumberFormat="1" applyFont="1" applyFill="1" applyBorder="1" applyAlignment="1">
      <alignment horizontal="center"/>
    </xf>
    <xf numFmtId="164" fontId="0" fillId="4" borderId="27" xfId="1" applyNumberFormat="1" applyFont="1" applyFill="1" applyBorder="1" applyAlignment="1">
      <alignment horizontal="center"/>
    </xf>
    <xf numFmtId="164" fontId="0" fillId="7" borderId="28" xfId="1" applyNumberFormat="1" applyFont="1" applyFill="1" applyBorder="1" applyAlignment="1">
      <alignment horizontal="center"/>
    </xf>
    <xf numFmtId="164" fontId="0" fillId="7" borderId="14" xfId="1" applyNumberFormat="1" applyFont="1" applyFill="1" applyBorder="1" applyAlignment="1">
      <alignment horizontal="center"/>
    </xf>
    <xf numFmtId="164" fontId="0" fillId="7" borderId="15" xfId="1" applyNumberFormat="1" applyFont="1" applyFill="1" applyBorder="1" applyAlignment="1">
      <alignment horizontal="center"/>
    </xf>
    <xf numFmtId="0" fontId="3" fillId="0" borderId="21" xfId="0" applyFont="1" applyBorder="1" applyAlignment="1">
      <alignment horizontal="left" indent="1"/>
    </xf>
    <xf numFmtId="164" fontId="0" fillId="4" borderId="24" xfId="1" applyNumberFormat="1" applyFont="1" applyFill="1" applyBorder="1" applyAlignment="1">
      <alignment horizontal="center"/>
    </xf>
    <xf numFmtId="164" fontId="0" fillId="4" borderId="25" xfId="1" applyNumberFormat="1" applyFont="1" applyFill="1" applyBorder="1" applyAlignment="1">
      <alignment horizontal="center"/>
    </xf>
    <xf numFmtId="164" fontId="0" fillId="4" borderId="29" xfId="1" applyNumberFormat="1" applyFont="1" applyFill="1" applyBorder="1" applyAlignment="1">
      <alignment horizontal="center"/>
    </xf>
    <xf numFmtId="164" fontId="0" fillId="0" borderId="25" xfId="1" applyNumberFormat="1" applyFont="1" applyFill="1" applyBorder="1" applyAlignment="1">
      <alignment horizontal="center"/>
    </xf>
    <xf numFmtId="164" fontId="0" fillId="0" borderId="26" xfId="1" applyNumberFormat="1" applyFont="1" applyFill="1" applyBorder="1" applyAlignment="1">
      <alignment horizontal="center"/>
    </xf>
    <xf numFmtId="164" fontId="0" fillId="7" borderId="23" xfId="1" applyNumberFormat="1" applyFont="1" applyFill="1" applyBorder="1" applyAlignment="1">
      <alignment horizontal="center"/>
    </xf>
    <xf numFmtId="164" fontId="0" fillId="7" borderId="0" xfId="1" applyNumberFormat="1" applyFont="1" applyFill="1" applyBorder="1" applyAlignment="1">
      <alignment horizontal="center"/>
    </xf>
    <xf numFmtId="164" fontId="0" fillId="7" borderId="5" xfId="1" applyNumberFormat="1" applyFont="1" applyFill="1" applyBorder="1" applyAlignment="1">
      <alignment horizontal="center"/>
    </xf>
    <xf numFmtId="164" fontId="0" fillId="0" borderId="28" xfId="1" applyNumberFormat="1" applyFont="1" applyFill="1" applyBorder="1" applyAlignment="1">
      <alignment horizontal="center"/>
    </xf>
    <xf numFmtId="164" fontId="0" fillId="0" borderId="14" xfId="1" applyNumberFormat="1" applyFont="1" applyFill="1" applyBorder="1" applyAlignment="1">
      <alignment horizontal="center"/>
    </xf>
    <xf numFmtId="164" fontId="0" fillId="0" borderId="15" xfId="1" applyNumberFormat="1" applyFont="1" applyFill="1" applyBorder="1" applyAlignment="1">
      <alignment horizontal="center"/>
    </xf>
    <xf numFmtId="0" fontId="3" fillId="0" borderId="21" xfId="0" applyFont="1" applyBorder="1"/>
    <xf numFmtId="0" fontId="0" fillId="3" borderId="21" xfId="0" applyFill="1" applyBorder="1"/>
    <xf numFmtId="0" fontId="0" fillId="0" borderId="0" xfId="0" applyAlignment="1">
      <alignment horizontal="left"/>
    </xf>
    <xf numFmtId="164" fontId="0" fillId="0" borderId="30" xfId="1" applyNumberFormat="1" applyFont="1" applyFill="1" applyBorder="1" applyAlignment="1">
      <alignment horizontal="center"/>
    </xf>
    <xf numFmtId="0" fontId="3" fillId="0" borderId="16" xfId="0" applyFont="1" applyBorder="1"/>
    <xf numFmtId="164" fontId="0" fillId="4" borderId="7" xfId="1" applyNumberFormat="1" applyFont="1" applyFill="1" applyBorder="1" applyAlignment="1">
      <alignment horizontal="center"/>
    </xf>
    <xf numFmtId="164" fontId="0" fillId="4" borderId="8" xfId="1" applyNumberFormat="1" applyFont="1" applyFill="1" applyBorder="1" applyAlignment="1">
      <alignment horizontal="center"/>
    </xf>
    <xf numFmtId="164" fontId="0" fillId="4" borderId="31" xfId="1" applyNumberFormat="1" applyFont="1" applyFill="1" applyBorder="1" applyAlignment="1">
      <alignment horizontal="center"/>
    </xf>
    <xf numFmtId="164" fontId="0" fillId="0" borderId="32" xfId="1" applyNumberFormat="1" applyFont="1" applyFill="1" applyBorder="1" applyAlignment="1">
      <alignment horizontal="center"/>
    </xf>
    <xf numFmtId="164" fontId="0" fillId="0" borderId="8" xfId="1" applyNumberFormat="1" applyFont="1" applyFill="1" applyBorder="1" applyAlignment="1">
      <alignment horizontal="center"/>
    </xf>
    <xf numFmtId="164" fontId="0" fillId="0" borderId="9" xfId="1" applyNumberFormat="1" applyFont="1" applyFill="1" applyBorder="1" applyAlignment="1">
      <alignment horizontal="center"/>
    </xf>
    <xf numFmtId="164" fontId="0" fillId="0" borderId="0" xfId="1" applyNumberFormat="1" applyFont="1" applyBorder="1"/>
    <xf numFmtId="164" fontId="0" fillId="0" borderId="0" xfId="1" applyNumberFormat="1" applyFont="1" applyFill="1"/>
    <xf numFmtId="164" fontId="0" fillId="0" borderId="0" xfId="1" applyNumberFormat="1" applyFont="1"/>
    <xf numFmtId="164" fontId="0" fillId="3" borderId="33" xfId="0" applyNumberFormat="1" applyFill="1" applyBorder="1" applyAlignment="1">
      <alignment horizontal="center"/>
    </xf>
    <xf numFmtId="164" fontId="0" fillId="3" borderId="6" xfId="0" applyNumberFormat="1" applyFill="1" applyBorder="1" applyAlignment="1">
      <alignment horizontal="center"/>
    </xf>
    <xf numFmtId="164" fontId="0" fillId="3" borderId="34" xfId="0" applyNumberFormat="1" applyFill="1" applyBorder="1" applyAlignment="1">
      <alignment horizontal="center"/>
    </xf>
    <xf numFmtId="164" fontId="0" fillId="0" borderId="0" xfId="0" applyNumberFormat="1" applyAlignment="1">
      <alignment horizontal="center"/>
    </xf>
    <xf numFmtId="0" fontId="0" fillId="8" borderId="33" xfId="0" applyFill="1" applyBorder="1"/>
    <xf numFmtId="0" fontId="0" fillId="8" borderId="6" xfId="0" applyFill="1" applyBorder="1" applyAlignment="1">
      <alignment horizontal="center"/>
    </xf>
    <xf numFmtId="0" fontId="0" fillId="8" borderId="34" xfId="0" applyFill="1" applyBorder="1" applyAlignment="1">
      <alignment horizontal="center"/>
    </xf>
    <xf numFmtId="0" fontId="0" fillId="0" borderId="23" xfId="0" applyBorder="1"/>
    <xf numFmtId="164" fontId="0" fillId="9" borderId="28" xfId="1" applyNumberFormat="1" applyFont="1" applyFill="1" applyBorder="1" applyAlignment="1">
      <alignment horizontal="center"/>
    </xf>
    <xf numFmtId="164" fontId="0" fillId="9" borderId="14" xfId="1" applyNumberFormat="1" applyFont="1" applyFill="1" applyBorder="1" applyAlignment="1">
      <alignment horizontal="center"/>
    </xf>
    <xf numFmtId="164" fontId="0" fillId="9" borderId="27" xfId="1" applyNumberFormat="1" applyFont="1" applyFill="1" applyBorder="1" applyAlignment="1">
      <alignment horizontal="center"/>
    </xf>
    <xf numFmtId="164" fontId="1" fillId="9" borderId="28" xfId="1" applyNumberFormat="1" applyFont="1" applyFill="1" applyBorder="1"/>
    <xf numFmtId="164" fontId="1" fillId="9" borderId="14" xfId="1" applyNumberFormat="1" applyFont="1" applyFill="1" applyBorder="1"/>
    <xf numFmtId="164" fontId="1" fillId="9" borderId="27" xfId="1" applyNumberFormat="1" applyFont="1" applyFill="1" applyBorder="1"/>
    <xf numFmtId="0" fontId="12" fillId="0" borderId="23" xfId="0" applyFont="1" applyBorder="1" applyAlignment="1">
      <alignment horizontal="left" indent="2"/>
    </xf>
    <xf numFmtId="0" fontId="12" fillId="0" borderId="0" xfId="0" applyFont="1" applyAlignment="1">
      <alignment horizontal="center"/>
    </xf>
    <xf numFmtId="164" fontId="12" fillId="4" borderId="0" xfId="1" applyNumberFormat="1" applyFont="1" applyFill="1" applyBorder="1"/>
    <xf numFmtId="164" fontId="12" fillId="4" borderId="22" xfId="1" applyNumberFormat="1" applyFont="1" applyFill="1" applyBorder="1"/>
    <xf numFmtId="0" fontId="12" fillId="0" borderId="0" xfId="0" applyFont="1"/>
    <xf numFmtId="0" fontId="12" fillId="0" borderId="28" xfId="0" applyFont="1" applyBorder="1"/>
    <xf numFmtId="0" fontId="12" fillId="0" borderId="14" xfId="0" applyFont="1" applyBorder="1"/>
    <xf numFmtId="164" fontId="12" fillId="0" borderId="14" xfId="0" applyNumberFormat="1" applyFont="1" applyBorder="1"/>
    <xf numFmtId="164" fontId="12" fillId="0" borderId="27" xfId="0" applyNumberFormat="1" applyFont="1" applyBorder="1"/>
    <xf numFmtId="0" fontId="0" fillId="0" borderId="8" xfId="0" applyBorder="1"/>
    <xf numFmtId="0" fontId="0" fillId="0" borderId="8" xfId="0" applyBorder="1" applyAlignment="1">
      <alignment horizontal="center"/>
    </xf>
    <xf numFmtId="164" fontId="0" fillId="3" borderId="0" xfId="0" applyNumberFormat="1" applyFill="1" applyAlignment="1">
      <alignment horizontal="center"/>
    </xf>
    <xf numFmtId="164" fontId="12" fillId="10" borderId="0" xfId="1" applyNumberFormat="1" applyFont="1" applyFill="1" applyAlignment="1">
      <alignment horizontal="center"/>
    </xf>
    <xf numFmtId="0" fontId="0" fillId="3" borderId="0" xfId="0" applyFill="1" applyAlignment="1">
      <alignment horizontal="center"/>
    </xf>
    <xf numFmtId="0" fontId="13" fillId="0" borderId="1" xfId="2" applyFont="1" applyBorder="1" applyAlignment="1" applyProtection="1">
      <alignment vertical="center"/>
      <protection locked="0"/>
    </xf>
    <xf numFmtId="0" fontId="9" fillId="3" borderId="0" xfId="0" quotePrefix="1" applyFont="1" applyFill="1" applyAlignment="1">
      <alignment horizontal="centerContinuous"/>
    </xf>
    <xf numFmtId="0" fontId="11" fillId="0" borderId="4" xfId="0" applyFont="1" applyBorder="1"/>
    <xf numFmtId="0" fontId="3" fillId="4" borderId="17" xfId="0" quotePrefix="1" applyFont="1" applyFill="1" applyBorder="1" applyAlignment="1">
      <alignment horizontal="center"/>
    </xf>
    <xf numFmtId="164" fontId="0" fillId="4" borderId="1" xfId="1" applyNumberFormat="1" applyFont="1" applyFill="1" applyBorder="1" applyAlignment="1">
      <alignment horizontal="center"/>
    </xf>
    <xf numFmtId="164" fontId="0" fillId="4" borderId="3" xfId="1" applyNumberFormat="1" applyFont="1" applyFill="1" applyBorder="1" applyAlignment="1">
      <alignment horizontal="center"/>
    </xf>
    <xf numFmtId="164" fontId="0" fillId="4" borderId="5" xfId="1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left" indent="1"/>
    </xf>
    <xf numFmtId="164" fontId="4" fillId="6" borderId="1" xfId="1" applyNumberFormat="1" applyFont="1" applyFill="1" applyBorder="1" applyAlignment="1">
      <alignment horizontal="center"/>
    </xf>
    <xf numFmtId="164" fontId="4" fillId="6" borderId="2" xfId="1" applyNumberFormat="1" applyFont="1" applyFill="1" applyBorder="1" applyAlignment="1">
      <alignment horizontal="center"/>
    </xf>
    <xf numFmtId="164" fontId="4" fillId="6" borderId="3" xfId="1" applyNumberFormat="1" applyFont="1" applyFill="1" applyBorder="1" applyAlignment="1">
      <alignment horizontal="center"/>
    </xf>
    <xf numFmtId="164" fontId="4" fillId="0" borderId="2" xfId="1" applyNumberFormat="1" applyFont="1" applyFill="1" applyBorder="1" applyAlignment="1">
      <alignment horizontal="center"/>
    </xf>
    <xf numFmtId="164" fontId="4" fillId="0" borderId="3" xfId="1" applyNumberFormat="1" applyFont="1" applyFill="1" applyBorder="1" applyAlignment="1">
      <alignment horizontal="center"/>
    </xf>
    <xf numFmtId="0" fontId="4" fillId="0" borderId="0" xfId="0" applyFont="1"/>
    <xf numFmtId="164" fontId="0" fillId="4" borderId="9" xfId="1" applyNumberFormat="1" applyFont="1" applyFill="1" applyBorder="1" applyAlignment="1">
      <alignment horizontal="center"/>
    </xf>
    <xf numFmtId="164" fontId="0" fillId="4" borderId="2" xfId="1" applyNumberFormat="1" applyFont="1" applyFill="1" applyBorder="1" applyAlignment="1">
      <alignment horizontal="center"/>
    </xf>
    <xf numFmtId="164" fontId="0" fillId="0" borderId="2" xfId="1" applyNumberFormat="1" applyFont="1" applyFill="1" applyBorder="1" applyAlignment="1">
      <alignment horizontal="center"/>
    </xf>
    <xf numFmtId="164" fontId="0" fillId="0" borderId="3" xfId="1" applyNumberFormat="1" applyFont="1" applyFill="1" applyBorder="1" applyAlignment="1">
      <alignment horizontal="center"/>
    </xf>
    <xf numFmtId="0" fontId="0" fillId="8" borderId="4" xfId="0" applyFill="1" applyBorder="1"/>
    <xf numFmtId="164" fontId="0" fillId="4" borderId="15" xfId="1" applyNumberFormat="1" applyFont="1" applyFill="1" applyBorder="1" applyAlignment="1">
      <alignment horizontal="center"/>
    </xf>
    <xf numFmtId="0" fontId="3" fillId="0" borderId="4" xfId="0" applyFont="1" applyBorder="1" applyAlignment="1">
      <alignment horizontal="left" indent="1"/>
    </xf>
    <xf numFmtId="164" fontId="0" fillId="4" borderId="35" xfId="1" applyNumberFormat="1" applyFont="1" applyFill="1" applyBorder="1" applyAlignment="1">
      <alignment horizontal="center"/>
    </xf>
    <xf numFmtId="164" fontId="0" fillId="4" borderId="36" xfId="1" applyNumberFormat="1" applyFont="1" applyFill="1" applyBorder="1" applyAlignment="1">
      <alignment horizontal="center"/>
    </xf>
    <xf numFmtId="164" fontId="0" fillId="4" borderId="37" xfId="1" applyNumberFormat="1" applyFont="1" applyFill="1" applyBorder="1" applyAlignment="1">
      <alignment horizontal="center"/>
    </xf>
    <xf numFmtId="164" fontId="0" fillId="0" borderId="36" xfId="1" applyNumberFormat="1" applyFont="1" applyFill="1" applyBorder="1" applyAlignment="1">
      <alignment horizontal="center"/>
    </xf>
    <xf numFmtId="164" fontId="0" fillId="0" borderId="37" xfId="1" applyNumberFormat="1" applyFont="1" applyFill="1" applyBorder="1" applyAlignment="1">
      <alignment horizontal="center"/>
    </xf>
    <xf numFmtId="0" fontId="3" fillId="0" borderId="4" xfId="0" applyFont="1" applyBorder="1"/>
    <xf numFmtId="164" fontId="0" fillId="4" borderId="1" xfId="0" applyNumberFormat="1" applyFill="1" applyBorder="1" applyAlignment="1">
      <alignment horizontal="center"/>
    </xf>
    <xf numFmtId="164" fontId="0" fillId="4" borderId="0" xfId="0" applyNumberFormat="1" applyFill="1" applyAlignment="1">
      <alignment horizontal="center"/>
    </xf>
    <xf numFmtId="164" fontId="0" fillId="4" borderId="3" xfId="0" applyNumberFormat="1" applyFill="1" applyBorder="1" applyAlignment="1">
      <alignment horizontal="center"/>
    </xf>
    <xf numFmtId="0" fontId="0" fillId="0" borderId="3" xfId="0" applyBorder="1" applyAlignment="1">
      <alignment horizontal="center"/>
    </xf>
    <xf numFmtId="164" fontId="0" fillId="4" borderId="7" xfId="0" applyNumberFormat="1" applyFill="1" applyBorder="1" applyAlignment="1">
      <alignment horizontal="center"/>
    </xf>
    <xf numFmtId="164" fontId="0" fillId="4" borderId="9" xfId="0" applyNumberFormat="1" applyFill="1" applyBorder="1" applyAlignment="1">
      <alignment horizontal="center"/>
    </xf>
    <xf numFmtId="0" fontId="0" fillId="0" borderId="9" xfId="0" applyBorder="1" applyAlignment="1">
      <alignment horizontal="center"/>
    </xf>
    <xf numFmtId="164" fontId="0" fillId="4" borderId="1" xfId="1" applyNumberFormat="1" applyFont="1" applyFill="1" applyBorder="1" applyAlignment="1"/>
    <xf numFmtId="164" fontId="0" fillId="4" borderId="2" xfId="1" applyNumberFormat="1" applyFont="1" applyFill="1" applyBorder="1" applyAlignment="1"/>
    <xf numFmtId="164" fontId="0" fillId="4" borderId="3" xfId="1" applyNumberFormat="1" applyFont="1" applyFill="1" applyBorder="1" applyAlignment="1"/>
    <xf numFmtId="164" fontId="0" fillId="0" borderId="2" xfId="1" applyNumberFormat="1" applyFont="1" applyFill="1" applyBorder="1" applyAlignment="1"/>
    <xf numFmtId="164" fontId="0" fillId="0" borderId="3" xfId="1" applyNumberFormat="1" applyFont="1" applyFill="1" applyBorder="1" applyAlignment="1"/>
    <xf numFmtId="43" fontId="0" fillId="4" borderId="4" xfId="1" applyFont="1" applyFill="1" applyBorder="1" applyAlignment="1"/>
    <xf numFmtId="43" fontId="0" fillId="4" borderId="0" xfId="1" applyFont="1" applyFill="1" applyBorder="1" applyAlignment="1"/>
    <xf numFmtId="43" fontId="0" fillId="4" borderId="5" xfId="1" applyFont="1" applyFill="1" applyBorder="1" applyAlignment="1"/>
    <xf numFmtId="43" fontId="0" fillId="0" borderId="0" xfId="1" applyFont="1" applyFill="1" applyBorder="1" applyAlignment="1"/>
    <xf numFmtId="43" fontId="0" fillId="0" borderId="5" xfId="1" applyFont="1" applyFill="1" applyBorder="1" applyAlignment="1"/>
    <xf numFmtId="165" fontId="0" fillId="4" borderId="4" xfId="1" applyNumberFormat="1" applyFont="1" applyFill="1" applyBorder="1" applyAlignment="1"/>
    <xf numFmtId="165" fontId="0" fillId="4" borderId="0" xfId="1" applyNumberFormat="1" applyFont="1" applyFill="1" applyBorder="1" applyAlignment="1"/>
    <xf numFmtId="165" fontId="0" fillId="4" borderId="5" xfId="1" applyNumberFormat="1" applyFont="1" applyFill="1" applyBorder="1" applyAlignment="1"/>
    <xf numFmtId="165" fontId="0" fillId="0" borderId="0" xfId="1" applyNumberFormat="1" applyFont="1" applyFill="1" applyBorder="1" applyAlignment="1"/>
    <xf numFmtId="165" fontId="0" fillId="0" borderId="5" xfId="1" applyNumberFormat="1" applyFont="1" applyFill="1" applyBorder="1" applyAlignment="1"/>
    <xf numFmtId="4" fontId="0" fillId="4" borderId="4" xfId="1" applyNumberFormat="1" applyFont="1" applyFill="1" applyBorder="1" applyAlignment="1"/>
    <xf numFmtId="4" fontId="0" fillId="4" borderId="0" xfId="1" applyNumberFormat="1" applyFont="1" applyFill="1" applyBorder="1" applyAlignment="1"/>
    <xf numFmtId="4" fontId="0" fillId="4" borderId="5" xfId="1" applyNumberFormat="1" applyFont="1" applyFill="1" applyBorder="1" applyAlignment="1"/>
    <xf numFmtId="4" fontId="0" fillId="0" borderId="0" xfId="1" applyNumberFormat="1" applyFont="1" applyFill="1" applyBorder="1" applyAlignment="1"/>
    <xf numFmtId="4" fontId="0" fillId="0" borderId="5" xfId="1" applyNumberFormat="1" applyFont="1" applyFill="1" applyBorder="1" applyAlignment="1"/>
    <xf numFmtId="6" fontId="0" fillId="4" borderId="7" xfId="0" applyNumberFormat="1" applyFill="1" applyBorder="1" applyAlignment="1">
      <alignment horizontal="right"/>
    </xf>
    <xf numFmtId="6" fontId="0" fillId="4" borderId="8" xfId="0" applyNumberFormat="1" applyFill="1" applyBorder="1" applyAlignment="1">
      <alignment horizontal="right"/>
    </xf>
    <xf numFmtId="6" fontId="0" fillId="4" borderId="9" xfId="0" applyNumberFormat="1" applyFill="1" applyBorder="1" applyAlignment="1">
      <alignment horizontal="right"/>
    </xf>
    <xf numFmtId="6" fontId="0" fillId="0" borderId="8" xfId="0" applyNumberFormat="1" applyBorder="1" applyAlignment="1">
      <alignment horizontal="right"/>
    </xf>
    <xf numFmtId="6" fontId="0" fillId="0" borderId="9" xfId="0" applyNumberFormat="1" applyBorder="1" applyAlignment="1">
      <alignment horizontal="right"/>
    </xf>
    <xf numFmtId="0" fontId="0" fillId="11" borderId="0" xfId="0" applyFill="1"/>
    <xf numFmtId="0" fontId="11" fillId="0" borderId="1" xfId="0" applyFont="1" applyBorder="1"/>
    <xf numFmtId="0" fontId="0" fillId="11" borderId="2" xfId="0" applyFill="1" applyBorder="1"/>
    <xf numFmtId="0" fontId="0" fillId="0" borderId="2" xfId="0" applyBorder="1"/>
    <xf numFmtId="0" fontId="12" fillId="0" borderId="4" xfId="0" applyFont="1" applyBorder="1"/>
    <xf numFmtId="0" fontId="0" fillId="5" borderId="4" xfId="0" applyFill="1" applyBorder="1"/>
    <xf numFmtId="0" fontId="0" fillId="11" borderId="0" xfId="0" applyFill="1" applyAlignment="1">
      <alignment horizontal="center"/>
    </xf>
    <xf numFmtId="0" fontId="0" fillId="5" borderId="0" xfId="0" applyFill="1"/>
    <xf numFmtId="164" fontId="0" fillId="11" borderId="0" xfId="1" applyNumberFormat="1" applyFont="1" applyFill="1" applyBorder="1" applyAlignment="1">
      <alignment horizontal="center"/>
    </xf>
    <xf numFmtId="0" fontId="0" fillId="11" borderId="8" xfId="0" applyFill="1" applyBorder="1"/>
    <xf numFmtId="0" fontId="0" fillId="3" borderId="4" xfId="0" applyFill="1" applyBorder="1"/>
    <xf numFmtId="0" fontId="0" fillId="3" borderId="0" xfId="0" applyFill="1"/>
    <xf numFmtId="0" fontId="7" fillId="3" borderId="1" xfId="0" applyFont="1" applyFill="1" applyBorder="1"/>
    <xf numFmtId="0" fontId="0" fillId="3" borderId="2" xfId="0" applyFill="1" applyBorder="1" applyAlignment="1">
      <alignment horizontal="left" vertical="top" wrapText="1"/>
    </xf>
    <xf numFmtId="0" fontId="0" fillId="3" borderId="3" xfId="0" applyFill="1" applyBorder="1" applyAlignment="1">
      <alignment horizontal="left" vertical="top" wrapText="1"/>
    </xf>
    <xf numFmtId="0" fontId="0" fillId="0" borderId="5" xfId="0" applyBorder="1" applyAlignment="1">
      <alignment horizontal="center"/>
    </xf>
    <xf numFmtId="0" fontId="3" fillId="0" borderId="38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10" fillId="0" borderId="41" xfId="0" applyFont="1" applyBorder="1" applyAlignment="1">
      <alignment horizontal="center" vertical="center" wrapText="1"/>
    </xf>
    <xf numFmtId="0" fontId="0" fillId="0" borderId="18" xfId="0" applyBorder="1" applyAlignment="1">
      <alignment vertical="center"/>
    </xf>
    <xf numFmtId="166" fontId="0" fillId="0" borderId="19" xfId="0" applyNumberFormat="1" applyBorder="1" applyAlignment="1">
      <alignment vertical="center"/>
    </xf>
    <xf numFmtId="166" fontId="5" fillId="0" borderId="20" xfId="0" applyNumberFormat="1" applyFont="1" applyBorder="1" applyAlignment="1">
      <alignment horizontal="center"/>
    </xf>
    <xf numFmtId="166" fontId="5" fillId="0" borderId="42" xfId="0" applyNumberFormat="1" applyFont="1" applyBorder="1" applyAlignment="1">
      <alignment horizontal="center" vertical="center"/>
    </xf>
    <xf numFmtId="0" fontId="0" fillId="0" borderId="43" xfId="0" applyBorder="1" applyAlignment="1">
      <alignment vertical="center" wrapText="1"/>
    </xf>
    <xf numFmtId="166" fontId="0" fillId="0" borderId="44" xfId="0" applyNumberFormat="1" applyBorder="1" applyAlignment="1">
      <alignment vertical="center"/>
    </xf>
    <xf numFmtId="0" fontId="0" fillId="0" borderId="10" xfId="0" applyBorder="1" applyAlignment="1">
      <alignment vertical="center"/>
    </xf>
    <xf numFmtId="166" fontId="0" fillId="0" borderId="11" xfId="0" applyNumberFormat="1" applyBorder="1" applyAlignment="1">
      <alignment vertical="center"/>
    </xf>
    <xf numFmtId="166" fontId="5" fillId="0" borderId="12" xfId="0" applyNumberFormat="1" applyFont="1" applyBorder="1" applyAlignment="1">
      <alignment horizontal="center"/>
    </xf>
    <xf numFmtId="0" fontId="0" fillId="0" borderId="45" xfId="0" applyBorder="1" applyAlignment="1">
      <alignment vertical="center"/>
    </xf>
    <xf numFmtId="166" fontId="0" fillId="0" borderId="46" xfId="0" applyNumberFormat="1" applyBorder="1" applyAlignment="1">
      <alignment vertical="center"/>
    </xf>
    <xf numFmtId="166" fontId="0" fillId="0" borderId="0" xfId="0" applyNumberFormat="1" applyAlignment="1">
      <alignment horizontal="center"/>
    </xf>
    <xf numFmtId="164" fontId="0" fillId="0" borderId="0" xfId="1" applyNumberFormat="1" applyFont="1" applyAlignment="1">
      <alignment horizontal="center"/>
    </xf>
    <xf numFmtId="0" fontId="0" fillId="3" borderId="0" xfId="0" applyFill="1" applyAlignment="1">
      <alignment horizontal="left"/>
    </xf>
    <xf numFmtId="0" fontId="0" fillId="3" borderId="14" xfId="0" applyFill="1" applyBorder="1" applyAlignment="1">
      <alignment horizontal="left"/>
    </xf>
    <xf numFmtId="164" fontId="0" fillId="3" borderId="14" xfId="0" applyNumberFormat="1" applyFill="1" applyBorder="1" applyAlignment="1">
      <alignment horizontal="center"/>
    </xf>
    <xf numFmtId="0" fontId="0" fillId="0" borderId="14" xfId="0" applyBorder="1" applyAlignment="1">
      <alignment horizontal="left"/>
    </xf>
    <xf numFmtId="164" fontId="0" fillId="0" borderId="14" xfId="0" applyNumberFormat="1" applyBorder="1" applyAlignment="1">
      <alignment horizontal="center"/>
    </xf>
    <xf numFmtId="0" fontId="0" fillId="0" borderId="4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</cellXfs>
  <cellStyles count="3">
    <cellStyle name="Comma" xfId="1" builtinId="3"/>
    <cellStyle name="Normal" xfId="0" builtinId="0"/>
    <cellStyle name="Normal 2 2" xfId="2" xr:uid="{F82BE406-C5BB-409F-9A58-A46F85A13F8C}"/>
  </cellStyles>
  <dxfs count="6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6C9686-E7CE-4FD4-B308-7FCF9219A923}">
  <dimension ref="A1:J238"/>
  <sheetViews>
    <sheetView showGridLines="0" tabSelected="1" zoomScaleNormal="100" workbookViewId="0">
      <selection activeCell="J47" sqref="J47"/>
    </sheetView>
  </sheetViews>
  <sheetFormatPr defaultRowHeight="14.45" outlineLevelRow="2"/>
  <cols>
    <col min="1" max="1" width="4.28515625" customWidth="1"/>
    <col min="2" max="2" width="54.140625" customWidth="1"/>
    <col min="3" max="3" width="16.28515625" style="2" customWidth="1"/>
    <col min="4" max="10" width="15.28515625" style="2" customWidth="1"/>
  </cols>
  <sheetData>
    <row r="1" spans="2:10" ht="15" thickBot="1">
      <c r="C1" s="1"/>
      <c r="D1" s="1"/>
      <c r="E1" s="1"/>
    </row>
    <row r="2" spans="2:10" s="3" customFormat="1" ht="12">
      <c r="B2" s="5" t="str">
        <f>F12&amp;" - May "&amp;RIGHT(F12, 4)&amp;" Submission"</f>
        <v>FY2024 - May 2024 Submission</v>
      </c>
      <c r="C2" s="6"/>
      <c r="D2" s="6"/>
      <c r="E2" s="6"/>
      <c r="F2" s="6"/>
      <c r="G2" s="7"/>
      <c r="H2" s="7"/>
      <c r="I2" s="7"/>
      <c r="J2" s="8"/>
    </row>
    <row r="3" spans="2:10" s="3" customFormat="1" ht="13.15">
      <c r="B3" s="9" t="s">
        <v>0</v>
      </c>
      <c r="C3" s="10"/>
      <c r="D3" s="10"/>
      <c r="E3" s="10"/>
      <c r="F3" s="11"/>
      <c r="I3" s="12" t="s">
        <v>1</v>
      </c>
      <c r="J3" s="13" t="s">
        <v>2</v>
      </c>
    </row>
    <row r="4" spans="2:10" s="4" customFormat="1" ht="13.9">
      <c r="B4" s="14" t="s">
        <v>3</v>
      </c>
      <c r="C4" s="15"/>
      <c r="D4" s="15"/>
      <c r="E4" s="15"/>
      <c r="F4" s="16"/>
      <c r="G4" s="16"/>
      <c r="H4" s="16"/>
      <c r="I4" s="16"/>
      <c r="J4" s="17"/>
    </row>
    <row r="5" spans="2:10" s="4" customFormat="1" ht="13.9">
      <c r="B5" s="14" t="s">
        <v>4</v>
      </c>
      <c r="C5" s="18"/>
      <c r="D5" s="19" t="s">
        <v>5</v>
      </c>
      <c r="E5" s="20"/>
      <c r="F5" s="21"/>
      <c r="G5" s="16"/>
      <c r="H5" s="16"/>
      <c r="I5" s="16"/>
      <c r="J5" s="17"/>
    </row>
    <row r="6" spans="2:10" s="4" customFormat="1" ht="13.9">
      <c r="B6" s="22"/>
      <c r="C6" s="23"/>
      <c r="D6" s="24" t="s">
        <v>6</v>
      </c>
      <c r="E6" s="24"/>
      <c r="F6" s="25"/>
      <c r="G6" s="26"/>
      <c r="H6" s="26"/>
      <c r="I6" s="26"/>
      <c r="J6" s="27"/>
    </row>
    <row r="7" spans="2:10" s="4" customFormat="1" ht="13.9">
      <c r="B7" s="22"/>
      <c r="C7" s="23"/>
      <c r="D7" s="25" t="str">
        <f>"For the Fiscal Years Ended "&amp;RIGHT(C12, 4)&amp;" through "&amp;RIGHT(E12, 4)&amp;", Actual and"</f>
        <v>For the Fiscal Years Ended 2021 through 2023, Actual and</v>
      </c>
      <c r="E7" s="25"/>
      <c r="F7" s="25"/>
      <c r="G7" s="26"/>
      <c r="H7" s="26"/>
      <c r="I7" s="26"/>
      <c r="J7" s="27"/>
    </row>
    <row r="8" spans="2:10" s="4" customFormat="1" ht="13.9">
      <c r="B8" s="22"/>
      <c r="C8" s="23"/>
      <c r="D8" s="25" t="str">
        <f>"the Fiscal Years Ending "&amp;RIGHT(F12, 4)&amp;" through "&amp;RIGHT(J12, 4)&amp;", Forecasted"</f>
        <v>the Fiscal Years Ending 2024 through 2028, Forecasted</v>
      </c>
      <c r="E8" s="25"/>
      <c r="F8" s="25"/>
      <c r="G8" s="26"/>
      <c r="H8" s="26"/>
      <c r="I8" s="26"/>
      <c r="J8" s="27"/>
    </row>
    <row r="9" spans="2:10" s="4" customFormat="1" ht="9" customHeight="1" thickBot="1">
      <c r="B9" s="28"/>
      <c r="C9" s="29"/>
      <c r="D9" s="29"/>
      <c r="E9" s="29"/>
      <c r="F9" s="30"/>
      <c r="G9" s="30"/>
      <c r="H9" s="30"/>
      <c r="I9" s="30"/>
      <c r="J9" s="31"/>
    </row>
    <row r="10" spans="2:10" s="4" customFormat="1" ht="15.75" hidden="1" customHeight="1" thickBot="1">
      <c r="B10" s="32"/>
      <c r="C10" s="33"/>
      <c r="D10" s="33"/>
      <c r="E10" s="33"/>
      <c r="F10" s="34"/>
      <c r="G10" s="34"/>
      <c r="H10" s="34"/>
      <c r="I10" s="34"/>
      <c r="J10" s="27"/>
    </row>
    <row r="11" spans="2:10" ht="15" thickBot="1">
      <c r="B11" s="35"/>
      <c r="C11" s="36" t="s">
        <v>7</v>
      </c>
      <c r="D11" s="37"/>
      <c r="E11" s="38"/>
      <c r="F11" s="39" t="s">
        <v>8</v>
      </c>
      <c r="G11" s="40"/>
      <c r="H11" s="40"/>
      <c r="I11" s="40"/>
      <c r="J11" s="41"/>
    </row>
    <row r="12" spans="2:10" ht="15" thickBot="1">
      <c r="B12" s="42"/>
      <c r="C12" s="43" t="s">
        <v>9</v>
      </c>
      <c r="D12" s="43" t="s">
        <v>10</v>
      </c>
      <c r="E12" s="43" t="s">
        <v>11</v>
      </c>
      <c r="F12" s="44" t="s">
        <v>12</v>
      </c>
      <c r="G12" s="44" t="s">
        <v>13</v>
      </c>
      <c r="H12" s="44" t="s">
        <v>14</v>
      </c>
      <c r="I12" s="44" t="s">
        <v>15</v>
      </c>
      <c r="J12" s="44" t="s">
        <v>16</v>
      </c>
    </row>
    <row r="13" spans="2:10">
      <c r="B13" s="45"/>
      <c r="C13" s="46"/>
      <c r="D13" s="47"/>
      <c r="E13" s="48"/>
      <c r="F13" s="49"/>
      <c r="G13" s="50"/>
      <c r="H13" s="50"/>
      <c r="I13" s="50"/>
      <c r="J13" s="51"/>
    </row>
    <row r="14" spans="2:10">
      <c r="B14" s="52" t="s">
        <v>17</v>
      </c>
      <c r="C14" s="46"/>
      <c r="D14" s="47"/>
      <c r="E14" s="48"/>
      <c r="F14" s="49"/>
      <c r="G14" s="50"/>
      <c r="H14" s="50"/>
      <c r="I14" s="50"/>
      <c r="J14" s="51"/>
    </row>
    <row r="15" spans="2:10">
      <c r="B15" s="45" t="s">
        <v>18</v>
      </c>
      <c r="C15" s="46">
        <v>1717138.3100000003</v>
      </c>
      <c r="D15" s="47">
        <v>2210971.1900000004</v>
      </c>
      <c r="E15" s="48">
        <v>2189053.64</v>
      </c>
      <c r="F15" s="49">
        <v>2658612.8422909551</v>
      </c>
      <c r="G15" s="50">
        <v>2850401.7897212747</v>
      </c>
      <c r="H15" s="50">
        <v>3118975.3897884469</v>
      </c>
      <c r="I15" s="50">
        <v>3632369.1324272682</v>
      </c>
      <c r="J15" s="51">
        <v>3904065.9237766149</v>
      </c>
    </row>
    <row r="16" spans="2:10">
      <c r="B16" s="45" t="s">
        <v>19</v>
      </c>
      <c r="C16" s="46"/>
      <c r="D16" s="47"/>
      <c r="E16" s="48"/>
      <c r="F16" s="49"/>
      <c r="G16" s="50"/>
      <c r="H16" s="50"/>
      <c r="I16" s="50"/>
      <c r="J16" s="51"/>
    </row>
    <row r="17" spans="2:10">
      <c r="B17" s="45" t="s">
        <v>20</v>
      </c>
      <c r="C17" s="46"/>
      <c r="D17" s="47"/>
      <c r="E17" s="48"/>
      <c r="F17" s="49"/>
      <c r="G17" s="50"/>
      <c r="H17" s="50"/>
      <c r="I17" s="50"/>
      <c r="J17" s="51"/>
    </row>
    <row r="18" spans="2:10">
      <c r="B18" s="45" t="s">
        <v>21</v>
      </c>
      <c r="C18" s="46">
        <f t="shared" ref="C18:J18" si="0">C19-C15-C40-C41</f>
        <v>221376.53000000003</v>
      </c>
      <c r="D18" s="47">
        <f t="shared" si="0"/>
        <v>338191.43000000017</v>
      </c>
      <c r="E18" s="48">
        <f t="shared" si="0"/>
        <v>426481.91000000003</v>
      </c>
      <c r="F18" s="50">
        <f t="shared" si="0"/>
        <v>122151.87000000011</v>
      </c>
      <c r="G18" s="50">
        <f t="shared" si="0"/>
        <v>76438.702700000256</v>
      </c>
      <c r="H18" s="50">
        <f t="shared" si="0"/>
        <v>78302.957770999754</v>
      </c>
      <c r="I18" s="50">
        <f t="shared" si="0"/>
        <v>80227.34069362958</v>
      </c>
      <c r="J18" s="51">
        <f t="shared" si="0"/>
        <v>82213.865313414019</v>
      </c>
    </row>
    <row r="19" spans="2:10" ht="15" hidden="1" customHeight="1" outlineLevel="1">
      <c r="B19" s="45" t="s">
        <v>21</v>
      </c>
      <c r="C19" s="53">
        <v>2596584.3600000003</v>
      </c>
      <c r="D19" s="54">
        <v>3664791.4700000007</v>
      </c>
      <c r="E19" s="55">
        <v>3596192.37</v>
      </c>
      <c r="F19" s="56">
        <v>3547758.8394704424</v>
      </c>
      <c r="G19" s="57">
        <v>3515690.4897546084</v>
      </c>
      <c r="H19" s="57">
        <v>3818632.4245022801</v>
      </c>
      <c r="I19" s="57">
        <v>4365029.444314016</v>
      </c>
      <c r="J19" s="58">
        <v>4670074.2222298039</v>
      </c>
    </row>
    <row r="20" spans="2:10" collapsed="1">
      <c r="B20" s="59" t="s">
        <v>22</v>
      </c>
      <c r="C20" s="60">
        <f t="shared" ref="C20:J20" si="1">SUM(C15:C18)</f>
        <v>1938514.8400000003</v>
      </c>
      <c r="D20" s="61">
        <f t="shared" si="1"/>
        <v>2549162.6200000006</v>
      </c>
      <c r="E20" s="62">
        <f t="shared" si="1"/>
        <v>2615535.5500000003</v>
      </c>
      <c r="F20" s="63">
        <f t="shared" si="1"/>
        <v>2780764.7122909552</v>
      </c>
      <c r="G20" s="63">
        <f t="shared" si="1"/>
        <v>2926840.492421275</v>
      </c>
      <c r="H20" s="63">
        <f t="shared" si="1"/>
        <v>3197278.3475594465</v>
      </c>
      <c r="I20" s="63">
        <f t="shared" si="1"/>
        <v>3712596.473120898</v>
      </c>
      <c r="J20" s="64">
        <f t="shared" si="1"/>
        <v>3986279.789090029</v>
      </c>
    </row>
    <row r="21" spans="2:10">
      <c r="B21" s="45"/>
      <c r="C21" s="46"/>
      <c r="D21" s="47"/>
      <c r="E21" s="48"/>
      <c r="F21" s="49"/>
      <c r="G21" s="50"/>
      <c r="H21" s="50"/>
      <c r="I21" s="50"/>
      <c r="J21" s="51"/>
    </row>
    <row r="22" spans="2:10">
      <c r="B22" s="52" t="s">
        <v>23</v>
      </c>
      <c r="C22" s="46"/>
      <c r="D22" s="47"/>
      <c r="E22" s="48"/>
      <c r="F22" s="49"/>
      <c r="G22" s="50"/>
      <c r="H22" s="50"/>
      <c r="I22" s="50"/>
      <c r="J22" s="51"/>
    </row>
    <row r="23" spans="2:10">
      <c r="B23" s="45" t="s">
        <v>24</v>
      </c>
      <c r="C23" s="46">
        <v>892490.56000000017</v>
      </c>
      <c r="D23" s="47">
        <v>1017431.94</v>
      </c>
      <c r="E23" s="48">
        <v>1204854.28</v>
      </c>
      <c r="F23" s="49">
        <v>880590.66193846148</v>
      </c>
      <c r="G23" s="50">
        <v>1069750.6374402822</v>
      </c>
      <c r="H23" s="50">
        <v>1134286.2334865672</v>
      </c>
      <c r="I23" s="50">
        <v>1222751.1704911643</v>
      </c>
      <c r="J23" s="51">
        <v>1281960.3258078226</v>
      </c>
    </row>
    <row r="24" spans="2:10" ht="15" hidden="1" customHeight="1" outlineLevel="1">
      <c r="B24" s="45" t="s">
        <v>25</v>
      </c>
      <c r="C24" s="46">
        <v>508852.76</v>
      </c>
      <c r="D24" s="47">
        <v>437756.08999999991</v>
      </c>
      <c r="E24" s="48">
        <v>690757.82999999984</v>
      </c>
      <c r="F24" s="65">
        <v>286740.29446051799</v>
      </c>
      <c r="G24" s="66">
        <v>376867.7965937634</v>
      </c>
      <c r="H24" s="66">
        <v>399677.80126080703</v>
      </c>
      <c r="I24" s="66">
        <v>430968.72137363133</v>
      </c>
      <c r="J24" s="67">
        <v>451886.36987642181</v>
      </c>
    </row>
    <row r="25" spans="2:10" ht="15" hidden="1" customHeight="1" outlineLevel="1">
      <c r="B25" s="45" t="s">
        <v>26</v>
      </c>
      <c r="C25" s="46">
        <v>282018</v>
      </c>
      <c r="D25" s="47">
        <v>193637</v>
      </c>
      <c r="E25" s="48">
        <v>364211</v>
      </c>
      <c r="F25" s="65">
        <v>0</v>
      </c>
      <c r="G25" s="66">
        <v>0</v>
      </c>
      <c r="H25" s="66">
        <v>0</v>
      </c>
      <c r="I25" s="66">
        <v>0</v>
      </c>
      <c r="J25" s="67">
        <v>0</v>
      </c>
    </row>
    <row r="26" spans="2:10" collapsed="1">
      <c r="B26" s="45" t="s">
        <v>25</v>
      </c>
      <c r="C26" s="46">
        <f t="shared" ref="C26:J26" si="2">C24-C25</f>
        <v>226834.76</v>
      </c>
      <c r="D26" s="47">
        <f t="shared" si="2"/>
        <v>244119.08999999991</v>
      </c>
      <c r="E26" s="48">
        <f t="shared" si="2"/>
        <v>326546.82999999984</v>
      </c>
      <c r="F26" s="49">
        <f t="shared" si="2"/>
        <v>286740.29446051799</v>
      </c>
      <c r="G26" s="50">
        <f t="shared" si="2"/>
        <v>376867.7965937634</v>
      </c>
      <c r="H26" s="50">
        <f t="shared" si="2"/>
        <v>399677.80126080703</v>
      </c>
      <c r="I26" s="50">
        <f t="shared" si="2"/>
        <v>430968.72137363133</v>
      </c>
      <c r="J26" s="51">
        <f t="shared" si="2"/>
        <v>451886.36987642181</v>
      </c>
    </row>
    <row r="27" spans="2:10">
      <c r="B27" s="45" t="s">
        <v>27</v>
      </c>
      <c r="C27" s="46">
        <v>1123945.3400000001</v>
      </c>
      <c r="D27" s="47">
        <v>1254363.95</v>
      </c>
      <c r="E27" s="48">
        <v>1437649.89</v>
      </c>
      <c r="F27" s="49">
        <v>1682328.3896657838</v>
      </c>
      <c r="G27" s="50">
        <v>1267154.2072237476</v>
      </c>
      <c r="H27" s="50">
        <v>1361348.5961646396</v>
      </c>
      <c r="I27" s="50">
        <v>1480859.7728488625</v>
      </c>
      <c r="J27" s="51">
        <v>1565480.3392080686</v>
      </c>
    </row>
    <row r="28" spans="2:10">
      <c r="B28" s="45" t="s">
        <v>28</v>
      </c>
      <c r="C28" s="46">
        <v>114905.28999999998</v>
      </c>
      <c r="D28" s="47">
        <v>93613.170000000042</v>
      </c>
      <c r="E28" s="48">
        <v>115954.32</v>
      </c>
      <c r="F28" s="49">
        <v>158727.44333333333</v>
      </c>
      <c r="G28" s="50">
        <v>142384.15563333334</v>
      </c>
      <c r="H28" s="50">
        <v>149678.28030233335</v>
      </c>
      <c r="I28" s="50">
        <v>156718.62871140335</v>
      </c>
      <c r="J28" s="51">
        <v>163847.78757274544</v>
      </c>
    </row>
    <row r="29" spans="2:10">
      <c r="B29" s="45" t="s">
        <v>29</v>
      </c>
      <c r="C29" s="46">
        <v>68633.5</v>
      </c>
      <c r="D29" s="47">
        <v>32230.429999999702</v>
      </c>
      <c r="E29" s="48">
        <v>318757.41000000015</v>
      </c>
      <c r="F29" s="49">
        <v>252727.44999999972</v>
      </c>
      <c r="G29" s="50">
        <v>0</v>
      </c>
      <c r="H29" s="50">
        <v>0</v>
      </c>
      <c r="I29" s="50">
        <v>0</v>
      </c>
      <c r="J29" s="51">
        <v>0</v>
      </c>
    </row>
    <row r="30" spans="2:10">
      <c r="B30" s="45" t="s">
        <v>30</v>
      </c>
      <c r="C30" s="46"/>
      <c r="D30" s="47"/>
      <c r="E30" s="48"/>
      <c r="F30" s="49">
        <f>0</f>
        <v>0</v>
      </c>
      <c r="G30" s="50">
        <v>0</v>
      </c>
      <c r="H30" s="50">
        <v>0</v>
      </c>
      <c r="I30" s="50">
        <v>0</v>
      </c>
      <c r="J30" s="51">
        <v>0</v>
      </c>
    </row>
    <row r="31" spans="2:10">
      <c r="B31" s="45" t="s">
        <v>31</v>
      </c>
      <c r="C31" s="46">
        <f t="shared" ref="C31:J31" si="3">C32-C48</f>
        <v>2892.1300000000047</v>
      </c>
      <c r="D31" s="47">
        <f t="shared" si="3"/>
        <v>2871.0499999999884</v>
      </c>
      <c r="E31" s="48">
        <f t="shared" si="3"/>
        <v>5261.5499999999884</v>
      </c>
      <c r="F31" s="49">
        <f t="shared" si="3"/>
        <v>11643.260800000047</v>
      </c>
      <c r="G31" s="50">
        <f t="shared" si="3"/>
        <v>11992.558623999998</v>
      </c>
      <c r="H31" s="50">
        <f t="shared" si="3"/>
        <v>12352.33538271999</v>
      </c>
      <c r="I31" s="50">
        <f t="shared" si="3"/>
        <v>12722.905444201606</v>
      </c>
      <c r="J31" s="51">
        <f t="shared" si="3"/>
        <v>13104.592607527622</v>
      </c>
    </row>
    <row r="32" spans="2:10" ht="15" hidden="1" customHeight="1" outlineLevel="1" thickBot="1">
      <c r="B32" s="45" t="s">
        <v>31</v>
      </c>
      <c r="C32" s="46">
        <v>312677.45</v>
      </c>
      <c r="D32" s="47">
        <v>421638.54</v>
      </c>
      <c r="E32" s="48">
        <v>357586.22000000003</v>
      </c>
      <c r="F32" s="49">
        <v>471151.26653115754</v>
      </c>
      <c r="G32" s="50">
        <v>419610.74759609898</v>
      </c>
      <c r="H32" s="50">
        <v>454885.06790203648</v>
      </c>
      <c r="I32" s="50">
        <v>521996.85136196937</v>
      </c>
      <c r="J32" s="51">
        <v>557699.15269848763</v>
      </c>
    </row>
    <row r="33" spans="2:10" collapsed="1">
      <c r="B33" s="45" t="s">
        <v>32</v>
      </c>
      <c r="C33" s="53">
        <v>-394633.71000000008</v>
      </c>
      <c r="D33" s="54">
        <v>718019.64</v>
      </c>
      <c r="E33" s="55">
        <v>-100622.53000000003</v>
      </c>
      <c r="F33" s="68">
        <v>-245673.98684142285</v>
      </c>
      <c r="G33" s="69">
        <v>199134.11136668036</v>
      </c>
      <c r="H33" s="69">
        <v>306027.45481575525</v>
      </c>
      <c r="I33" s="69">
        <v>67891.960658987286</v>
      </c>
      <c r="J33" s="70">
        <v>0</v>
      </c>
    </row>
    <row r="34" spans="2:10">
      <c r="B34" s="59" t="s">
        <v>33</v>
      </c>
      <c r="C34" s="60">
        <f t="shared" ref="C34:J34" si="4">SUM(C23:C33)-C32-C24-C25</f>
        <v>2035067.87</v>
      </c>
      <c r="D34" s="61">
        <f t="shared" si="4"/>
        <v>3362649.2699999986</v>
      </c>
      <c r="E34" s="62">
        <f t="shared" si="4"/>
        <v>3308401.7499999981</v>
      </c>
      <c r="F34" s="63">
        <f t="shared" si="4"/>
        <v>3027083.5133566731</v>
      </c>
      <c r="G34" s="63">
        <f t="shared" si="4"/>
        <v>3067283.4668818065</v>
      </c>
      <c r="H34" s="63">
        <f t="shared" si="4"/>
        <v>3363370.7014128221</v>
      </c>
      <c r="I34" s="63">
        <f t="shared" si="4"/>
        <v>3371913.1595282503</v>
      </c>
      <c r="J34" s="64">
        <f t="shared" si="4"/>
        <v>3476279.4150725859</v>
      </c>
    </row>
    <row r="35" spans="2:10" ht="10.5" customHeight="1">
      <c r="B35" s="71"/>
      <c r="C35" s="46"/>
      <c r="D35" s="47"/>
      <c r="E35" s="48"/>
      <c r="F35" s="49"/>
      <c r="G35" s="50"/>
      <c r="H35" s="50"/>
      <c r="I35" s="50"/>
      <c r="J35" s="51"/>
    </row>
    <row r="36" spans="2:10">
      <c r="B36" s="45" t="s">
        <v>34</v>
      </c>
      <c r="C36" s="46"/>
      <c r="D36" s="47"/>
      <c r="E36" s="48"/>
      <c r="F36" s="49"/>
      <c r="G36" s="50"/>
      <c r="H36" s="50"/>
      <c r="I36" s="50"/>
      <c r="J36" s="51"/>
    </row>
    <row r="37" spans="2:10">
      <c r="B37" s="45" t="s">
        <v>23</v>
      </c>
      <c r="C37" s="46">
        <f t="shared" ref="C37:J37" si="5">C20-C34</f>
        <v>-96553.029999999795</v>
      </c>
      <c r="D37" s="47">
        <f t="shared" si="5"/>
        <v>-813486.64999999804</v>
      </c>
      <c r="E37" s="48">
        <f t="shared" si="5"/>
        <v>-692866.19999999786</v>
      </c>
      <c r="F37" s="49">
        <f t="shared" si="5"/>
        <v>-246318.80106571782</v>
      </c>
      <c r="G37" s="50">
        <f t="shared" si="5"/>
        <v>-140442.97446053149</v>
      </c>
      <c r="H37" s="50">
        <f t="shared" si="5"/>
        <v>-166092.35385337565</v>
      </c>
      <c r="I37" s="50">
        <f t="shared" si="5"/>
        <v>340683.31359264767</v>
      </c>
      <c r="J37" s="51">
        <f t="shared" si="5"/>
        <v>510000.37401744304</v>
      </c>
    </row>
    <row r="38" spans="2:10" ht="9.75" customHeight="1">
      <c r="B38" s="45"/>
      <c r="C38" s="46"/>
      <c r="D38" s="47"/>
      <c r="E38" s="48"/>
      <c r="F38" s="49"/>
      <c r="G38" s="50"/>
      <c r="H38" s="50"/>
      <c r="I38" s="50"/>
      <c r="J38" s="51"/>
    </row>
    <row r="39" spans="2:10">
      <c r="B39" s="52" t="s">
        <v>35</v>
      </c>
      <c r="C39" s="46"/>
      <c r="D39" s="47"/>
      <c r="E39" s="48"/>
      <c r="F39" s="49"/>
      <c r="G39" s="50"/>
      <c r="H39" s="50"/>
      <c r="I39" s="50"/>
      <c r="J39" s="51"/>
    </row>
    <row r="40" spans="2:10">
      <c r="B40" s="45" t="s">
        <v>36</v>
      </c>
      <c r="C40" s="46">
        <v>658069.52</v>
      </c>
      <c r="D40" s="47">
        <v>1115628.8500000001</v>
      </c>
      <c r="E40" s="48">
        <v>980656.82</v>
      </c>
      <c r="F40" s="49">
        <v>766994.12717948714</v>
      </c>
      <c r="G40" s="50">
        <v>588849.99733333336</v>
      </c>
      <c r="H40" s="50">
        <v>621354.07694283337</v>
      </c>
      <c r="I40" s="50">
        <v>652432.97119311825</v>
      </c>
      <c r="J40" s="51">
        <v>683794.43313977495</v>
      </c>
    </row>
    <row r="41" spans="2:10">
      <c r="B41" s="45" t="s">
        <v>37</v>
      </c>
      <c r="C41" s="46"/>
      <c r="D41" s="47"/>
      <c r="E41" s="48"/>
      <c r="F41" s="49"/>
      <c r="G41" s="50"/>
      <c r="H41" s="50"/>
      <c r="I41" s="50"/>
      <c r="J41" s="51"/>
    </row>
    <row r="42" spans="2:10">
      <c r="B42" s="45" t="s">
        <v>38</v>
      </c>
      <c r="C42" s="46"/>
      <c r="D42" s="47"/>
      <c r="E42" s="48"/>
      <c r="F42" s="49"/>
      <c r="G42" s="50"/>
      <c r="H42" s="50"/>
      <c r="I42" s="50"/>
      <c r="J42" s="51"/>
    </row>
    <row r="43" spans="2:10">
      <c r="B43" s="45" t="s">
        <v>39</v>
      </c>
      <c r="C43" s="46"/>
      <c r="D43" s="47"/>
      <c r="E43" s="48"/>
      <c r="F43" s="49"/>
      <c r="G43" s="50"/>
      <c r="H43" s="50"/>
      <c r="I43" s="50"/>
      <c r="J43" s="51"/>
    </row>
    <row r="44" spans="2:10">
      <c r="B44" s="72" t="s">
        <v>40</v>
      </c>
      <c r="C44" s="46"/>
      <c r="D44" s="47"/>
      <c r="E44" s="48"/>
      <c r="F44" s="49"/>
      <c r="G44" s="50"/>
      <c r="H44" s="50"/>
      <c r="I44" s="50"/>
      <c r="J44" s="51"/>
    </row>
    <row r="45" spans="2:10">
      <c r="B45" s="45" t="s">
        <v>41</v>
      </c>
      <c r="C45" s="46">
        <v>0</v>
      </c>
      <c r="D45" s="47">
        <v>0</v>
      </c>
      <c r="E45" s="48">
        <v>0</v>
      </c>
      <c r="F45" s="49">
        <v>0</v>
      </c>
      <c r="G45" s="50">
        <v>0</v>
      </c>
      <c r="H45" s="50">
        <v>0</v>
      </c>
      <c r="I45" s="50">
        <v>0</v>
      </c>
      <c r="J45" s="51">
        <v>0</v>
      </c>
    </row>
    <row r="46" spans="2:10">
      <c r="B46" s="45" t="s">
        <v>42</v>
      </c>
      <c r="C46" s="46">
        <v>0</v>
      </c>
      <c r="D46" s="47">
        <v>-25000</v>
      </c>
      <c r="E46" s="48">
        <v>0</v>
      </c>
      <c r="F46" s="49">
        <v>0</v>
      </c>
      <c r="G46" s="50">
        <v>0</v>
      </c>
      <c r="H46" s="50">
        <v>0</v>
      </c>
      <c r="I46" s="50">
        <v>0</v>
      </c>
      <c r="J46" s="51">
        <v>0</v>
      </c>
    </row>
    <row r="47" spans="2:10">
      <c r="B47" s="45" t="s">
        <v>43</v>
      </c>
      <c r="C47" s="46">
        <f t="shared" ref="C47:J47" si="6">-C48</f>
        <v>-309785.32</v>
      </c>
      <c r="D47" s="47">
        <f t="shared" si="6"/>
        <v>-418767.49</v>
      </c>
      <c r="E47" s="48">
        <f t="shared" si="6"/>
        <v>-352324.67000000004</v>
      </c>
      <c r="F47" s="49">
        <f t="shared" si="6"/>
        <v>-459508.00573115749</v>
      </c>
      <c r="G47" s="50">
        <f t="shared" si="6"/>
        <v>-407618.18897209899</v>
      </c>
      <c r="H47" s="50">
        <f t="shared" si="6"/>
        <v>-442532.73251931649</v>
      </c>
      <c r="I47" s="50">
        <f t="shared" si="6"/>
        <v>-509273.94591776776</v>
      </c>
      <c r="J47" s="51">
        <f t="shared" si="6"/>
        <v>-544594.56009096</v>
      </c>
    </row>
    <row r="48" spans="2:10" ht="15" hidden="1" customHeight="1" outlineLevel="1">
      <c r="B48" s="45" t="s">
        <v>43</v>
      </c>
      <c r="C48" s="46">
        <v>309785.32</v>
      </c>
      <c r="D48" s="47">
        <v>418767.49</v>
      </c>
      <c r="E48" s="48">
        <v>352324.67000000004</v>
      </c>
      <c r="F48" s="49">
        <v>459508.00573115749</v>
      </c>
      <c r="G48" s="50">
        <v>407618.18897209899</v>
      </c>
      <c r="H48" s="50">
        <v>442532.73251931649</v>
      </c>
      <c r="I48" s="50">
        <v>509273.94591776776</v>
      </c>
      <c r="J48" s="51">
        <v>544594.56009096</v>
      </c>
    </row>
    <row r="49" spans="1:10" collapsed="1">
      <c r="B49" s="45" t="s">
        <v>44</v>
      </c>
      <c r="C49" s="46">
        <v>0</v>
      </c>
      <c r="D49" s="47">
        <v>125921.9499999996</v>
      </c>
      <c r="E49" s="48">
        <v>81319.219999999797</v>
      </c>
      <c r="F49" s="49">
        <v>0</v>
      </c>
      <c r="G49" s="50">
        <v>0</v>
      </c>
      <c r="H49" s="50">
        <v>0</v>
      </c>
      <c r="I49" s="50">
        <v>0</v>
      </c>
      <c r="J49" s="51">
        <v>0</v>
      </c>
    </row>
    <row r="50" spans="1:10">
      <c r="B50" s="45" t="s">
        <v>45</v>
      </c>
      <c r="C50" s="53">
        <v>-226789.37999999989</v>
      </c>
      <c r="D50" s="54">
        <v>0</v>
      </c>
      <c r="E50" s="55">
        <v>0</v>
      </c>
      <c r="F50" s="68">
        <v>-97781.750382611528</v>
      </c>
      <c r="G50" s="69">
        <v>-40788.83390070207</v>
      </c>
      <c r="H50" s="69">
        <v>-12728.990570141264</v>
      </c>
      <c r="I50" s="69">
        <v>-24113.427910812374</v>
      </c>
      <c r="J50" s="70">
        <v>-17711.747307471203</v>
      </c>
    </row>
    <row r="51" spans="1:10">
      <c r="B51" s="59" t="s">
        <v>46</v>
      </c>
      <c r="C51" s="60">
        <f t="shared" ref="C51:J51" si="7">SUM(C40:C50)-C48</f>
        <v>121494.82000000012</v>
      </c>
      <c r="D51" s="61">
        <f t="shared" si="7"/>
        <v>797783.30999999982</v>
      </c>
      <c r="E51" s="62">
        <f t="shared" si="7"/>
        <v>709651.36999999976</v>
      </c>
      <c r="F51" s="74">
        <f t="shared" si="7"/>
        <v>209704.37106571812</v>
      </c>
      <c r="G51" s="63">
        <f t="shared" si="7"/>
        <v>140442.97446053231</v>
      </c>
      <c r="H51" s="63">
        <f t="shared" si="7"/>
        <v>166092.35385337565</v>
      </c>
      <c r="I51" s="63">
        <f t="shared" si="7"/>
        <v>119045.59736453806</v>
      </c>
      <c r="J51" s="64">
        <f t="shared" si="7"/>
        <v>121488.12574134371</v>
      </c>
    </row>
    <row r="52" spans="1:10">
      <c r="B52" s="45"/>
      <c r="C52" s="46"/>
      <c r="D52" s="47"/>
      <c r="E52" s="48"/>
      <c r="F52" s="49"/>
      <c r="G52" s="50"/>
      <c r="H52" s="50"/>
      <c r="I52" s="50"/>
      <c r="J52" s="51"/>
    </row>
    <row r="53" spans="1:10">
      <c r="B53" s="45" t="s">
        <v>47</v>
      </c>
      <c r="C53" s="46"/>
      <c r="D53" s="47"/>
      <c r="E53" s="48"/>
      <c r="F53" s="49"/>
      <c r="G53" s="50"/>
      <c r="H53" s="50"/>
      <c r="I53" s="50"/>
      <c r="J53" s="51"/>
    </row>
    <row r="54" spans="1:10">
      <c r="B54" s="45" t="s">
        <v>48</v>
      </c>
      <c r="C54" s="46"/>
      <c r="D54" s="47"/>
      <c r="E54" s="48"/>
      <c r="F54" s="49"/>
      <c r="G54" s="50"/>
      <c r="H54" s="50"/>
      <c r="I54" s="50"/>
      <c r="J54" s="51"/>
    </row>
    <row r="55" spans="1:10">
      <c r="B55" s="45" t="s">
        <v>49</v>
      </c>
      <c r="C55" s="46">
        <f t="shared" ref="C55:J55" si="8">C37+C51</f>
        <v>24941.790000000328</v>
      </c>
      <c r="D55" s="47">
        <f t="shared" si="8"/>
        <v>-15703.339999998221</v>
      </c>
      <c r="E55" s="48">
        <f t="shared" si="8"/>
        <v>16785.170000001905</v>
      </c>
      <c r="F55" s="49">
        <f t="shared" si="8"/>
        <v>-36614.429999999702</v>
      </c>
      <c r="G55" s="50">
        <f t="shared" si="8"/>
        <v>8.149072527885437E-10</v>
      </c>
      <c r="H55" s="50">
        <f t="shared" si="8"/>
        <v>0</v>
      </c>
      <c r="I55" s="50">
        <f t="shared" si="8"/>
        <v>459728.91095718573</v>
      </c>
      <c r="J55" s="51">
        <f t="shared" si="8"/>
        <v>631488.49975878675</v>
      </c>
    </row>
    <row r="56" spans="1:10">
      <c r="B56" s="45"/>
      <c r="C56" s="46"/>
      <c r="D56" s="47"/>
      <c r="E56" s="48"/>
      <c r="F56" s="49"/>
      <c r="G56" s="50"/>
      <c r="H56" s="50"/>
      <c r="I56" s="50"/>
      <c r="J56" s="51"/>
    </row>
    <row r="57" spans="1:10">
      <c r="B57" s="71" t="s">
        <v>50</v>
      </c>
      <c r="C57" s="46">
        <v>59390.760301060778</v>
      </c>
      <c r="D57" s="47">
        <f t="shared" ref="D57:J57" si="9">C59</f>
        <v>84332.550301061099</v>
      </c>
      <c r="E57" s="48">
        <f t="shared" si="9"/>
        <v>68629.210301062878</v>
      </c>
      <c r="F57" s="49">
        <f t="shared" si="9"/>
        <v>85414.380301064783</v>
      </c>
      <c r="G57" s="50">
        <f t="shared" si="9"/>
        <v>48799.950301065081</v>
      </c>
      <c r="H57" s="50">
        <f t="shared" si="9"/>
        <v>48799.950301065895</v>
      </c>
      <c r="I57" s="50">
        <f t="shared" si="9"/>
        <v>48799.950301065895</v>
      </c>
      <c r="J57" s="51">
        <f t="shared" si="9"/>
        <v>508528.86125825159</v>
      </c>
    </row>
    <row r="58" spans="1:10">
      <c r="B58" s="45"/>
      <c r="C58" s="46"/>
      <c r="D58" s="47"/>
      <c r="E58" s="48"/>
      <c r="F58" s="49"/>
      <c r="G58" s="50"/>
      <c r="H58" s="50"/>
      <c r="I58" s="50"/>
      <c r="J58" s="51"/>
    </row>
    <row r="59" spans="1:10" ht="15" thickBot="1">
      <c r="B59" s="75" t="s">
        <v>51</v>
      </c>
      <c r="C59" s="76">
        <f t="shared" ref="C59:J59" si="10">C55+C57</f>
        <v>84332.550301061099</v>
      </c>
      <c r="D59" s="77">
        <f t="shared" si="10"/>
        <v>68629.210301062878</v>
      </c>
      <c r="E59" s="78">
        <f t="shared" si="10"/>
        <v>85414.380301064783</v>
      </c>
      <c r="F59" s="79">
        <f t="shared" si="10"/>
        <v>48799.950301065081</v>
      </c>
      <c r="G59" s="80">
        <f t="shared" si="10"/>
        <v>48799.950301065895</v>
      </c>
      <c r="H59" s="80">
        <f t="shared" si="10"/>
        <v>48799.950301065895</v>
      </c>
      <c r="I59" s="80">
        <f t="shared" si="10"/>
        <v>508528.86125825159</v>
      </c>
      <c r="J59" s="81">
        <f t="shared" si="10"/>
        <v>1140017.3610170383</v>
      </c>
    </row>
    <row r="60" spans="1:10" ht="15" thickBot="1"/>
    <row r="61" spans="1:10" s="84" customFormat="1" ht="15" hidden="1" outlineLevel="1" thickBot="1">
      <c r="A61" s="82"/>
      <c r="B61" t="s">
        <v>52</v>
      </c>
      <c r="C61" s="83">
        <v>84332.529999999984</v>
      </c>
      <c r="D61" s="83">
        <v>68629.209999999948</v>
      </c>
      <c r="E61" s="83">
        <v>85414.44999999991</v>
      </c>
      <c r="F61" s="83">
        <v>50000.000000000029</v>
      </c>
      <c r="G61" s="83">
        <v>50000.000000000029</v>
      </c>
      <c r="H61" s="83">
        <v>50000</v>
      </c>
      <c r="I61" s="83">
        <v>509728.91095718485</v>
      </c>
      <c r="J61" s="83">
        <v>1141217.4107159704</v>
      </c>
    </row>
    <row r="62" spans="1:10" ht="15" hidden="1" outlineLevel="1" thickBot="1">
      <c r="B62" t="s">
        <v>53</v>
      </c>
      <c r="C62" s="85">
        <f t="shared" ref="C62:J62" si="11">ROUND(C59-C61,0)</f>
        <v>0</v>
      </c>
      <c r="D62" s="86">
        <f t="shared" si="11"/>
        <v>0</v>
      </c>
      <c r="E62" s="86">
        <f t="shared" si="11"/>
        <v>0</v>
      </c>
      <c r="F62" s="86">
        <f t="shared" si="11"/>
        <v>-1200</v>
      </c>
      <c r="G62" s="86">
        <f t="shared" si="11"/>
        <v>-1200</v>
      </c>
      <c r="H62" s="86">
        <f t="shared" si="11"/>
        <v>-1200</v>
      </c>
      <c r="I62" s="86">
        <f t="shared" si="11"/>
        <v>-1200</v>
      </c>
      <c r="J62" s="87">
        <f t="shared" si="11"/>
        <v>-1200</v>
      </c>
    </row>
    <row r="63" spans="1:10" ht="15" hidden="1" outlineLevel="1" thickBot="1">
      <c r="G63" s="88">
        <f>G62-F62</f>
        <v>0</v>
      </c>
      <c r="H63" s="88">
        <f>H62-G62</f>
        <v>0</v>
      </c>
      <c r="I63" s="88">
        <f>I62-H62</f>
        <v>0</v>
      </c>
      <c r="J63" s="88">
        <f>J62-I62</f>
        <v>0</v>
      </c>
    </row>
    <row r="64" spans="1:10" ht="15" hidden="1" outlineLevel="1" thickBot="1">
      <c r="B64" s="89" t="s">
        <v>54</v>
      </c>
      <c r="C64" s="90"/>
      <c r="D64" s="90"/>
      <c r="E64" s="90"/>
      <c r="F64" s="90"/>
      <c r="G64" s="90"/>
      <c r="H64" s="90"/>
      <c r="I64" s="90"/>
      <c r="J64" s="91"/>
    </row>
    <row r="65" spans="2:10" ht="15" hidden="1" outlineLevel="1" thickBot="1">
      <c r="B65" s="92" t="s">
        <v>55</v>
      </c>
      <c r="F65" s="93">
        <v>0</v>
      </c>
      <c r="G65" s="94">
        <v>0</v>
      </c>
      <c r="H65" s="94">
        <v>0</v>
      </c>
      <c r="I65" s="94">
        <v>0</v>
      </c>
      <c r="J65" s="95">
        <v>0</v>
      </c>
    </row>
    <row r="66" spans="2:10" ht="15" hidden="1" outlineLevel="1" thickBot="1">
      <c r="B66" s="92" t="s">
        <v>56</v>
      </c>
      <c r="F66" s="96">
        <v>0</v>
      </c>
      <c r="G66" s="97">
        <v>0</v>
      </c>
      <c r="H66" s="97">
        <v>0</v>
      </c>
      <c r="I66" s="97">
        <v>0</v>
      </c>
      <c r="J66" s="98">
        <v>0</v>
      </c>
    </row>
    <row r="67" spans="2:10" s="103" customFormat="1" ht="15" hidden="1" outlineLevel="2" thickBot="1">
      <c r="B67" s="99" t="s">
        <v>57</v>
      </c>
      <c r="C67" s="100"/>
      <c r="D67" s="100"/>
      <c r="E67" s="100"/>
      <c r="F67" s="101">
        <f>IF(F66&lt;0,-F66,0)</f>
        <v>0</v>
      </c>
      <c r="G67" s="101">
        <f>IF(G66&lt;0,-G66,0)</f>
        <v>0</v>
      </c>
      <c r="H67" s="101">
        <f>IF(H66&lt;0,-H66,0)</f>
        <v>0</v>
      </c>
      <c r="I67" s="101">
        <f>IF(I66&lt;0,-I66,0)</f>
        <v>0</v>
      </c>
      <c r="J67" s="102">
        <f>IF(J66&lt;0,-J66,0)</f>
        <v>0</v>
      </c>
    </row>
    <row r="68" spans="2:10" s="103" customFormat="1" ht="15" hidden="1" outlineLevel="2" thickBot="1">
      <c r="B68" s="99" t="s">
        <v>58</v>
      </c>
      <c r="C68" s="100"/>
      <c r="D68" s="100"/>
      <c r="E68" s="100"/>
      <c r="F68" s="101">
        <f>IF(F66&gt;0,F66,0)</f>
        <v>0</v>
      </c>
      <c r="G68" s="101">
        <f>IF(G66&gt;0,G66,0)</f>
        <v>0</v>
      </c>
      <c r="H68" s="101">
        <f>IF(H66&gt;0,H66,0)</f>
        <v>0</v>
      </c>
      <c r="I68" s="101">
        <f>IF(I66&gt;0,I66,0)</f>
        <v>0</v>
      </c>
      <c r="J68" s="102">
        <f>IF(J66&gt;0,J66,0)</f>
        <v>0</v>
      </c>
    </row>
    <row r="69" spans="2:10" s="103" customFormat="1" ht="15" hidden="1" outlineLevel="1" collapsed="1" thickBot="1">
      <c r="B69" s="104" t="s">
        <v>59</v>
      </c>
      <c r="C69" s="105"/>
      <c r="D69" s="105"/>
      <c r="E69" s="105"/>
      <c r="F69" s="106">
        <f>SUM(F65:F66)</f>
        <v>0</v>
      </c>
      <c r="G69" s="106">
        <f>SUM(G65:G66)</f>
        <v>0</v>
      </c>
      <c r="H69" s="106">
        <f>SUM(H65:H66)</f>
        <v>0</v>
      </c>
      <c r="I69" s="106">
        <f>SUM(I65:I66)</f>
        <v>0</v>
      </c>
      <c r="J69" s="107">
        <f>SUM(J65:J66)</f>
        <v>0</v>
      </c>
    </row>
    <row r="70" spans="2:10" ht="15" hidden="1" outlineLevel="1" thickBot="1"/>
    <row r="71" spans="2:10" ht="15" hidden="1" outlineLevel="1" thickBot="1">
      <c r="B71" s="108" t="s">
        <v>60</v>
      </c>
      <c r="C71" s="109"/>
      <c r="D71" s="109"/>
      <c r="E71" s="109"/>
      <c r="F71" s="109"/>
      <c r="G71" s="109"/>
      <c r="H71" s="109"/>
      <c r="I71" s="109"/>
      <c r="J71" s="109"/>
    </row>
    <row r="72" spans="2:10" ht="15" hidden="1" outlineLevel="1" thickBot="1">
      <c r="B72" t="s">
        <v>61</v>
      </c>
      <c r="C72" s="110">
        <f t="shared" ref="C72:J72" si="12">C20</f>
        <v>1938514.8400000003</v>
      </c>
      <c r="D72" s="110">
        <f t="shared" si="12"/>
        <v>2549162.6200000006</v>
      </c>
      <c r="E72" s="110">
        <f t="shared" si="12"/>
        <v>2615535.5500000003</v>
      </c>
      <c r="F72" s="110">
        <f t="shared" si="12"/>
        <v>2780764.7122909552</v>
      </c>
      <c r="G72" s="110">
        <f t="shared" si="12"/>
        <v>2926840.492421275</v>
      </c>
      <c r="H72" s="110">
        <f t="shared" si="12"/>
        <v>3197278.3475594465</v>
      </c>
      <c r="I72" s="110">
        <f t="shared" si="12"/>
        <v>3712596.473120898</v>
      </c>
      <c r="J72" s="110">
        <f t="shared" si="12"/>
        <v>3986279.789090029</v>
      </c>
    </row>
    <row r="73" spans="2:10" ht="15" hidden="1" outlineLevel="1" thickBot="1">
      <c r="B73" t="s">
        <v>62</v>
      </c>
      <c r="C73" s="110">
        <f t="shared" ref="C73:J73" si="13">SUM(C40:C42)</f>
        <v>658069.52</v>
      </c>
      <c r="D73" s="110">
        <f t="shared" si="13"/>
        <v>1115628.8500000001</v>
      </c>
      <c r="E73" s="110">
        <f t="shared" si="13"/>
        <v>980656.82</v>
      </c>
      <c r="F73" s="110">
        <f t="shared" si="13"/>
        <v>766994.12717948714</v>
      </c>
      <c r="G73" s="110">
        <f t="shared" si="13"/>
        <v>588849.99733333336</v>
      </c>
      <c r="H73" s="110">
        <f t="shared" si="13"/>
        <v>621354.07694283337</v>
      </c>
      <c r="I73" s="110">
        <f t="shared" si="13"/>
        <v>652432.97119311825</v>
      </c>
      <c r="J73" s="110">
        <f t="shared" si="13"/>
        <v>683794.43313977495</v>
      </c>
    </row>
    <row r="74" spans="2:10" ht="15" hidden="1" outlineLevel="1" thickBot="1">
      <c r="B74" t="s">
        <v>63</v>
      </c>
      <c r="C74" s="110">
        <f t="shared" ref="C74:J74" si="14">SUM(C72:C73)</f>
        <v>2596584.3600000003</v>
      </c>
      <c r="D74" s="110">
        <f t="shared" si="14"/>
        <v>3664791.4700000007</v>
      </c>
      <c r="E74" s="110">
        <f t="shared" si="14"/>
        <v>3596192.37</v>
      </c>
      <c r="F74" s="110">
        <f t="shared" si="14"/>
        <v>3547758.8394704424</v>
      </c>
      <c r="G74" s="110">
        <f t="shared" si="14"/>
        <v>3515690.4897546084</v>
      </c>
      <c r="H74" s="110">
        <f t="shared" si="14"/>
        <v>3818632.4245022796</v>
      </c>
      <c r="I74" s="110">
        <f t="shared" si="14"/>
        <v>4365029.444314016</v>
      </c>
      <c r="J74" s="110">
        <f t="shared" si="14"/>
        <v>4670074.2222298039</v>
      </c>
    </row>
    <row r="75" spans="2:10" ht="15" hidden="1" outlineLevel="1" thickBot="1">
      <c r="B75" s="103" t="s">
        <v>64</v>
      </c>
      <c r="C75" s="111">
        <v>2596584.3600000003</v>
      </c>
      <c r="D75" s="111">
        <v>3664791.4700000007</v>
      </c>
      <c r="E75" s="111">
        <v>3596192.37</v>
      </c>
      <c r="F75" s="111">
        <v>3547758.8394704424</v>
      </c>
      <c r="G75" s="111">
        <v>3515690.4897546084</v>
      </c>
      <c r="H75" s="111">
        <v>3818632.4245022801</v>
      </c>
      <c r="I75" s="111">
        <v>4365029.444314016</v>
      </c>
      <c r="J75" s="111">
        <v>4670074.2222298039</v>
      </c>
    </row>
    <row r="76" spans="2:10" ht="15" hidden="1" outlineLevel="1" thickBot="1">
      <c r="B76" s="103" t="s">
        <v>65</v>
      </c>
      <c r="C76" s="110">
        <f t="shared" ref="C76:J76" si="15">ROUND(C74-C75,0)</f>
        <v>0</v>
      </c>
      <c r="D76" s="110">
        <f t="shared" si="15"/>
        <v>0</v>
      </c>
      <c r="E76" s="110">
        <f t="shared" si="15"/>
        <v>0</v>
      </c>
      <c r="F76" s="110">
        <f t="shared" si="15"/>
        <v>0</v>
      </c>
      <c r="G76" s="110">
        <f t="shared" si="15"/>
        <v>0</v>
      </c>
      <c r="H76" s="110">
        <f t="shared" si="15"/>
        <v>0</v>
      </c>
      <c r="I76" s="110">
        <f t="shared" si="15"/>
        <v>0</v>
      </c>
      <c r="J76" s="110">
        <f t="shared" si="15"/>
        <v>0</v>
      </c>
    </row>
    <row r="77" spans="2:10" ht="15" hidden="1" outlineLevel="1" thickBot="1">
      <c r="C77" s="112"/>
      <c r="D77" s="112"/>
      <c r="E77" s="112"/>
    </row>
    <row r="78" spans="2:10" ht="15" hidden="1" outlineLevel="1" thickBot="1">
      <c r="C78" s="112"/>
      <c r="D78" s="112"/>
      <c r="E78" s="112"/>
    </row>
    <row r="79" spans="2:10" ht="15" hidden="1" outlineLevel="1" thickBot="1">
      <c r="C79" s="112"/>
      <c r="D79" s="112"/>
      <c r="E79" s="112"/>
    </row>
    <row r="80" spans="2:10" ht="15" hidden="1" outlineLevel="1" thickBot="1">
      <c r="B80" t="s">
        <v>66</v>
      </c>
      <c r="C80" s="110">
        <f t="shared" ref="C80:J80" si="16">SUM(C23,C26,C27:C28,C31)</f>
        <v>2361068.08</v>
      </c>
      <c r="D80" s="110">
        <f t="shared" si="16"/>
        <v>2612399.1999999993</v>
      </c>
      <c r="E80" s="110">
        <f t="shared" si="16"/>
        <v>3090266.8699999996</v>
      </c>
      <c r="F80" s="110">
        <f t="shared" si="16"/>
        <v>3020030.0501980968</v>
      </c>
      <c r="G80" s="110">
        <f t="shared" si="16"/>
        <v>2868149.3555151261</v>
      </c>
      <c r="H80" s="110">
        <f t="shared" si="16"/>
        <v>3057343.246597067</v>
      </c>
      <c r="I80" s="110">
        <f t="shared" si="16"/>
        <v>3304021.1988692633</v>
      </c>
      <c r="J80" s="110">
        <f t="shared" si="16"/>
        <v>3476279.4150725859</v>
      </c>
    </row>
    <row r="81" spans="2:10" ht="15" hidden="1" outlineLevel="1" thickBot="1">
      <c r="B81" t="s">
        <v>67</v>
      </c>
      <c r="C81" s="110">
        <f t="shared" ref="C81:J81" si="17">SUM(C48)</f>
        <v>309785.32</v>
      </c>
      <c r="D81" s="110">
        <f t="shared" si="17"/>
        <v>418767.49</v>
      </c>
      <c r="E81" s="110">
        <f t="shared" si="17"/>
        <v>352324.67000000004</v>
      </c>
      <c r="F81" s="110">
        <f t="shared" si="17"/>
        <v>459508.00573115749</v>
      </c>
      <c r="G81" s="110">
        <f t="shared" si="17"/>
        <v>407618.18897209899</v>
      </c>
      <c r="H81" s="110">
        <f t="shared" si="17"/>
        <v>442532.73251931649</v>
      </c>
      <c r="I81" s="110">
        <f t="shared" si="17"/>
        <v>509273.94591776776</v>
      </c>
      <c r="J81" s="110">
        <f t="shared" si="17"/>
        <v>544594.56009096</v>
      </c>
    </row>
    <row r="82" spans="2:10" ht="15" hidden="1" outlineLevel="1" thickBot="1">
      <c r="B82" t="s">
        <v>68</v>
      </c>
      <c r="C82" s="110">
        <f t="shared" ref="C82:J82" si="18">SUM(C80:C81)</f>
        <v>2670853.4</v>
      </c>
      <c r="D82" s="110">
        <f t="shared" si="18"/>
        <v>3031166.6899999995</v>
      </c>
      <c r="E82" s="110">
        <f t="shared" si="18"/>
        <v>3442591.5399999996</v>
      </c>
      <c r="F82" s="110">
        <f t="shared" si="18"/>
        <v>3479538.0559292543</v>
      </c>
      <c r="G82" s="110">
        <f t="shared" si="18"/>
        <v>3275767.5444872249</v>
      </c>
      <c r="H82" s="110">
        <f t="shared" si="18"/>
        <v>3499875.9791163835</v>
      </c>
      <c r="I82" s="110">
        <f t="shared" si="18"/>
        <v>3813295.1447870312</v>
      </c>
      <c r="J82" s="110">
        <f t="shared" si="18"/>
        <v>4020873.9751635459</v>
      </c>
    </row>
    <row r="83" spans="2:10" ht="15" hidden="1" outlineLevel="1" thickBot="1">
      <c r="B83" s="103" t="s">
        <v>69</v>
      </c>
      <c r="C83" s="111">
        <v>2670853.399999999</v>
      </c>
      <c r="D83" s="111">
        <v>3031166.6899999985</v>
      </c>
      <c r="E83" s="111">
        <v>3442591.54</v>
      </c>
      <c r="F83" s="111">
        <v>3479538.0559292538</v>
      </c>
      <c r="G83" s="111">
        <v>3275767.5444872258</v>
      </c>
      <c r="H83" s="111">
        <v>3499875.9791163825</v>
      </c>
      <c r="I83" s="111">
        <v>3813295.1447870312</v>
      </c>
      <c r="J83" s="111">
        <v>4020873.975163545</v>
      </c>
    </row>
    <row r="84" spans="2:10" ht="15" hidden="1" outlineLevel="1" thickBot="1">
      <c r="B84" s="103" t="s">
        <v>65</v>
      </c>
      <c r="C84" s="110">
        <f t="shared" ref="C84:J84" si="19">ROUND(C82-C83,0)</f>
        <v>0</v>
      </c>
      <c r="D84" s="110">
        <f t="shared" si="19"/>
        <v>0</v>
      </c>
      <c r="E84" s="110">
        <f t="shared" si="19"/>
        <v>0</v>
      </c>
      <c r="F84" s="110">
        <f t="shared" si="19"/>
        <v>0</v>
      </c>
      <c r="G84" s="110">
        <f t="shared" si="19"/>
        <v>0</v>
      </c>
      <c r="H84" s="110">
        <f t="shared" si="19"/>
        <v>0</v>
      </c>
      <c r="I84" s="110">
        <f t="shared" si="19"/>
        <v>0</v>
      </c>
      <c r="J84" s="110">
        <f t="shared" si="19"/>
        <v>0</v>
      </c>
    </row>
    <row r="85" spans="2:10" ht="15" hidden="1" outlineLevel="1" thickBot="1">
      <c r="C85" s="112"/>
      <c r="D85" s="112"/>
      <c r="E85" s="112"/>
    </row>
    <row r="86" spans="2:10" collapsed="1">
      <c r="B86" s="113" t="str">
        <f>B2</f>
        <v>FY2024 - May 2024 Submission</v>
      </c>
      <c r="C86" s="6"/>
      <c r="D86" s="6"/>
      <c r="E86" s="6"/>
      <c r="F86" s="7"/>
      <c r="G86" s="7"/>
      <c r="H86" s="7"/>
      <c r="I86" s="7"/>
      <c r="J86" s="8"/>
    </row>
    <row r="87" spans="2:10">
      <c r="B87" s="9" t="str">
        <f>B3</f>
        <v>IRN No.:  016829</v>
      </c>
      <c r="C87" s="10"/>
      <c r="D87" s="10"/>
      <c r="E87" s="10"/>
      <c r="F87" s="11"/>
      <c r="G87" s="3"/>
      <c r="H87" s="3"/>
      <c r="I87" s="12" t="str">
        <f>I3</f>
        <v>County:</v>
      </c>
      <c r="J87" s="13" t="str">
        <f>J3</f>
        <v>Franklin</v>
      </c>
    </row>
    <row r="88" spans="2:10">
      <c r="B88" s="14" t="str">
        <f>B4</f>
        <v>Type of School: Brick &amp; Mortar</v>
      </c>
      <c r="C88" s="15"/>
      <c r="D88" s="15"/>
      <c r="E88" s="15"/>
      <c r="F88" s="16"/>
      <c r="G88" s="16"/>
      <c r="H88" s="16"/>
      <c r="I88" s="16"/>
      <c r="J88" s="17"/>
    </row>
    <row r="89" spans="2:10">
      <c r="B89" s="14" t="str">
        <f>B5</f>
        <v>Contract Term: 06/30/27</v>
      </c>
      <c r="C89" s="18"/>
      <c r="D89" s="114" t="str">
        <f>D5</f>
        <v>South Columbus Preparatory Academy at German Village</v>
      </c>
      <c r="E89" s="20"/>
      <c r="F89" s="21"/>
      <c r="G89" s="16"/>
      <c r="H89" s="16"/>
      <c r="I89" s="16"/>
      <c r="J89" s="17"/>
    </row>
    <row r="90" spans="2:10" ht="16.899999999999999" customHeight="1">
      <c r="B90" s="22"/>
      <c r="C90" s="23"/>
      <c r="D90" s="24" t="str">
        <f>D6</f>
        <v>Statement of Receipt, Disbursements, and Changes in Fund Cash Balances</v>
      </c>
      <c r="E90" s="24"/>
      <c r="F90" s="25"/>
      <c r="G90" s="26"/>
      <c r="H90" s="26"/>
      <c r="I90" s="26"/>
      <c r="J90" s="27"/>
    </row>
    <row r="91" spans="2:10">
      <c r="B91" s="22"/>
      <c r="C91" s="23"/>
      <c r="D91" s="24" t="str">
        <f>D7</f>
        <v>For the Fiscal Years Ended 2021 through 2023, Actual and</v>
      </c>
      <c r="E91" s="24"/>
      <c r="F91" s="25"/>
      <c r="G91" s="26"/>
      <c r="H91" s="26"/>
      <c r="I91" s="26"/>
      <c r="J91" s="27"/>
    </row>
    <row r="92" spans="2:10">
      <c r="B92" s="22"/>
      <c r="C92" s="23"/>
      <c r="D92" s="24" t="str">
        <f>D8</f>
        <v>the Fiscal Years Ending 2024 through 2028, Forecasted</v>
      </c>
      <c r="E92" s="24"/>
      <c r="F92" s="25"/>
      <c r="G92" s="26"/>
      <c r="H92" s="26"/>
      <c r="I92" s="26"/>
      <c r="J92" s="27"/>
    </row>
    <row r="93" spans="2:10" ht="10.5" customHeight="1" thickBot="1">
      <c r="B93" s="28"/>
      <c r="C93" s="29"/>
      <c r="D93" s="29"/>
      <c r="E93" s="29"/>
      <c r="F93" s="30"/>
      <c r="G93" s="30"/>
      <c r="H93" s="30"/>
      <c r="I93" s="30"/>
      <c r="J93" s="31"/>
    </row>
    <row r="94" spans="2:10" ht="5.25" customHeight="1">
      <c r="B94" s="32"/>
      <c r="C94" s="110"/>
      <c r="D94" s="110"/>
      <c r="E94" s="110"/>
      <c r="F94" s="88"/>
      <c r="G94" s="88"/>
      <c r="H94" s="88"/>
      <c r="I94" s="88"/>
    </row>
    <row r="95" spans="2:10" ht="5.25" customHeight="1" thickBot="1">
      <c r="B95" s="32"/>
      <c r="C95" s="110"/>
      <c r="D95" s="110"/>
      <c r="E95" s="110"/>
      <c r="F95" s="88"/>
      <c r="G95" s="88"/>
      <c r="H95" s="88"/>
      <c r="I95" s="88"/>
    </row>
    <row r="96" spans="2:10" ht="15" thickBot="1">
      <c r="B96" s="32"/>
      <c r="C96" s="36" t="str">
        <f>C11</f>
        <v>Actual</v>
      </c>
      <c r="D96" s="36"/>
      <c r="E96" s="38"/>
      <c r="F96" s="39" t="str">
        <f>F11</f>
        <v>Forecasted</v>
      </c>
      <c r="G96" s="40"/>
      <c r="H96" s="40"/>
      <c r="I96" s="40"/>
      <c r="J96" s="41"/>
    </row>
    <row r="97" spans="2:10" ht="15" thickBot="1">
      <c r="B97" s="115" t="s">
        <v>70</v>
      </c>
      <c r="C97" s="116" t="str">
        <f>C12</f>
        <v>FY2021</v>
      </c>
      <c r="D97" s="116" t="str">
        <f>D12</f>
        <v>FY2022</v>
      </c>
      <c r="E97" s="116" t="str">
        <f>E12</f>
        <v>FY2023</v>
      </c>
      <c r="F97" s="44" t="str">
        <f>F12</f>
        <v>FY2024</v>
      </c>
      <c r="G97" s="44" t="str">
        <f>G12</f>
        <v>FY2025</v>
      </c>
      <c r="H97" s="44" t="str">
        <f>H12</f>
        <v>FY2026</v>
      </c>
      <c r="I97" s="44" t="str">
        <f>I12</f>
        <v>FY2027</v>
      </c>
      <c r="J97" s="44" t="str">
        <f>J12</f>
        <v>FY2028</v>
      </c>
    </row>
    <row r="98" spans="2:10">
      <c r="B98" s="32" t="s">
        <v>71</v>
      </c>
      <c r="C98" s="117">
        <v>205.35749999999999</v>
      </c>
      <c r="D98" s="47">
        <v>263.43292000000002</v>
      </c>
      <c r="E98" s="118">
        <v>264.59067800000003</v>
      </c>
      <c r="F98" s="50">
        <v>273.53999999999996</v>
      </c>
      <c r="G98" s="50">
        <v>273.53999999999996</v>
      </c>
      <c r="H98" s="50">
        <v>299.72999999999996</v>
      </c>
      <c r="I98" s="50">
        <v>323.97999999999996</v>
      </c>
      <c r="J98" s="51">
        <v>348.22999999999996</v>
      </c>
    </row>
    <row r="99" spans="2:10" ht="15" customHeight="1">
      <c r="B99" s="32" t="s">
        <v>72</v>
      </c>
      <c r="C99" s="46">
        <v>16</v>
      </c>
      <c r="D99" s="47">
        <v>18</v>
      </c>
      <c r="E99" s="119">
        <v>20</v>
      </c>
      <c r="F99" s="50">
        <v>16</v>
      </c>
      <c r="G99" s="50">
        <v>19</v>
      </c>
      <c r="H99" s="50">
        <v>20</v>
      </c>
      <c r="I99" s="50">
        <v>21</v>
      </c>
      <c r="J99" s="51">
        <v>21</v>
      </c>
    </row>
    <row r="100" spans="2:10" ht="13.9" customHeight="1">
      <c r="B100" s="32" t="s">
        <v>73</v>
      </c>
      <c r="C100" s="46">
        <v>2</v>
      </c>
      <c r="D100" s="47">
        <v>2</v>
      </c>
      <c r="E100" s="119">
        <v>3</v>
      </c>
      <c r="F100" s="50">
        <v>3</v>
      </c>
      <c r="G100" s="50">
        <v>2</v>
      </c>
      <c r="H100" s="50">
        <v>2</v>
      </c>
      <c r="I100" s="50">
        <v>2</v>
      </c>
      <c r="J100" s="51">
        <v>2</v>
      </c>
    </row>
    <row r="101" spans="2:10">
      <c r="B101" s="32" t="s">
        <v>74</v>
      </c>
      <c r="C101" s="46">
        <v>2</v>
      </c>
      <c r="D101" s="47">
        <v>1</v>
      </c>
      <c r="E101" s="119">
        <v>0</v>
      </c>
      <c r="F101" s="50">
        <v>0</v>
      </c>
      <c r="G101" s="50">
        <v>0</v>
      </c>
      <c r="H101" s="50">
        <v>0</v>
      </c>
      <c r="I101" s="50">
        <v>0</v>
      </c>
      <c r="J101" s="51">
        <v>0</v>
      </c>
    </row>
    <row r="102" spans="2:10" s="126" customFormat="1" ht="15.75" hidden="1" customHeight="1">
      <c r="B102" s="120"/>
      <c r="C102" s="121">
        <v>18</v>
      </c>
      <c r="D102" s="122">
        <v>17</v>
      </c>
      <c r="E102" s="123">
        <v>23</v>
      </c>
      <c r="F102" s="124">
        <v>20</v>
      </c>
      <c r="G102" s="124">
        <v>22</v>
      </c>
      <c r="H102" s="124">
        <v>23</v>
      </c>
      <c r="I102" s="124">
        <v>24</v>
      </c>
      <c r="J102" s="125">
        <v>24</v>
      </c>
    </row>
    <row r="103" spans="2:10" ht="15.75" customHeight="1" thickBot="1">
      <c r="B103" s="32"/>
      <c r="C103" s="76"/>
      <c r="D103" s="77"/>
      <c r="E103" s="127"/>
      <c r="F103" s="80"/>
      <c r="G103" s="80"/>
      <c r="H103" s="80"/>
      <c r="I103" s="80"/>
      <c r="J103" s="81"/>
    </row>
    <row r="104" spans="2:10">
      <c r="B104" s="115" t="s">
        <v>75</v>
      </c>
      <c r="C104" s="117"/>
      <c r="D104" s="128"/>
      <c r="E104" s="118"/>
      <c r="F104" s="129"/>
      <c r="G104" s="129"/>
      <c r="H104" s="129"/>
      <c r="I104" s="129"/>
      <c r="J104" s="130"/>
    </row>
    <row r="105" spans="2:10">
      <c r="B105" s="32" t="s">
        <v>76</v>
      </c>
      <c r="C105" s="46">
        <v>0</v>
      </c>
      <c r="D105" s="47">
        <v>0</v>
      </c>
      <c r="E105" s="119">
        <v>0</v>
      </c>
      <c r="F105" s="50">
        <v>0</v>
      </c>
      <c r="G105" s="50">
        <v>0</v>
      </c>
      <c r="H105" s="50">
        <v>0</v>
      </c>
      <c r="I105" s="50">
        <v>0</v>
      </c>
      <c r="J105" s="51">
        <v>0</v>
      </c>
    </row>
    <row r="106" spans="2:10">
      <c r="B106" s="32" t="s">
        <v>77</v>
      </c>
      <c r="C106" s="46">
        <v>48068.25</v>
      </c>
      <c r="D106" s="47">
        <v>50542.86</v>
      </c>
      <c r="E106" s="119">
        <v>32827.550000000003</v>
      </c>
      <c r="F106" s="50">
        <v>43887.666666666657</v>
      </c>
      <c r="G106" s="50">
        <v>45204.296666666669</v>
      </c>
      <c r="H106" s="50">
        <v>46560.425566666658</v>
      </c>
      <c r="I106" s="50">
        <v>47957.238333666668</v>
      </c>
      <c r="J106" s="51">
        <v>49395.955483676669</v>
      </c>
    </row>
    <row r="107" spans="2:10">
      <c r="B107" s="32" t="s">
        <v>78</v>
      </c>
      <c r="C107" s="46">
        <v>59602.43</v>
      </c>
      <c r="D107" s="47">
        <v>147953.27000000002</v>
      </c>
      <c r="E107" s="119">
        <v>185337.17</v>
      </c>
      <c r="F107" s="50">
        <v>194167.88</v>
      </c>
      <c r="G107" s="50">
        <v>143623.42489999998</v>
      </c>
      <c r="H107" s="50">
        <v>147932.12764700002</v>
      </c>
      <c r="I107" s="50">
        <v>152370.09147641002</v>
      </c>
      <c r="J107" s="51">
        <v>156941.19422070231</v>
      </c>
    </row>
    <row r="108" spans="2:10">
      <c r="B108" s="32" t="s">
        <v>79</v>
      </c>
      <c r="C108" s="46">
        <v>14530</v>
      </c>
      <c r="D108" s="47">
        <v>14251</v>
      </c>
      <c r="E108" s="119">
        <v>17967.850000000002</v>
      </c>
      <c r="F108" s="50">
        <v>14305.064899999999</v>
      </c>
      <c r="G108" s="50">
        <v>14734.216847</v>
      </c>
      <c r="H108" s="50">
        <v>15176.24335241</v>
      </c>
      <c r="I108" s="50">
        <v>15631.530652982299</v>
      </c>
      <c r="J108" s="51">
        <v>16100.47657257177</v>
      </c>
    </row>
    <row r="109" spans="2:10">
      <c r="B109" s="32" t="s">
        <v>80</v>
      </c>
      <c r="C109" s="46">
        <v>381179.48</v>
      </c>
      <c r="D109" s="47">
        <v>372086.53</v>
      </c>
      <c r="E109" s="119">
        <v>408265.62</v>
      </c>
      <c r="F109" s="50">
        <v>417652.13405272568</v>
      </c>
      <c r="G109" s="50">
        <v>394712.36803794326</v>
      </c>
      <c r="H109" s="50">
        <v>427765.85596199497</v>
      </c>
      <c r="I109" s="50">
        <v>493984.20136978349</v>
      </c>
      <c r="J109" s="51">
        <v>527657.73152715387</v>
      </c>
    </row>
    <row r="110" spans="2:10">
      <c r="B110" s="32" t="s">
        <v>81</v>
      </c>
      <c r="C110" s="46">
        <v>48666.569999999992</v>
      </c>
      <c r="D110" s="47">
        <v>57037.649999999994</v>
      </c>
      <c r="E110" s="119">
        <v>65098.489999999991</v>
      </c>
      <c r="F110" s="50">
        <v>79420.20733498293</v>
      </c>
      <c r="G110" s="50">
        <v>86024.96369163823</v>
      </c>
      <c r="H110" s="50">
        <v>94082.171693653407</v>
      </c>
      <c r="I110" s="50">
        <v>109483.98397281802</v>
      </c>
      <c r="J110" s="51">
        <v>117634.88771329843</v>
      </c>
    </row>
    <row r="111" spans="2:10">
      <c r="B111" s="32" t="s">
        <v>82</v>
      </c>
      <c r="C111" s="46">
        <v>26592.5</v>
      </c>
      <c r="D111" s="47">
        <v>29932.42</v>
      </c>
      <c r="E111" s="119">
        <v>37285.910000000003</v>
      </c>
      <c r="F111" s="50">
        <v>31754.778999999999</v>
      </c>
      <c r="G111" s="50">
        <v>32707.422369999997</v>
      </c>
      <c r="H111" s="50">
        <v>33688.645041100004</v>
      </c>
      <c r="I111" s="50">
        <v>34699.304392332997</v>
      </c>
      <c r="J111" s="51">
        <v>35740.283524102997</v>
      </c>
    </row>
    <row r="112" spans="2:10">
      <c r="B112" s="32" t="s">
        <v>83</v>
      </c>
      <c r="C112" s="46">
        <v>0</v>
      </c>
      <c r="D112" s="47">
        <v>676.23</v>
      </c>
      <c r="E112" s="119">
        <v>1408</v>
      </c>
      <c r="F112" s="50">
        <v>1503.47</v>
      </c>
      <c r="G112" s="50">
        <v>1548.5741000000005</v>
      </c>
      <c r="H112" s="50">
        <v>1595.0313230000004</v>
      </c>
      <c r="I112" s="50">
        <v>1642.8822626900001</v>
      </c>
      <c r="J112" s="51">
        <v>1692.1687305707001</v>
      </c>
    </row>
    <row r="113" spans="2:10">
      <c r="B113" s="32" t="s">
        <v>84</v>
      </c>
      <c r="C113" s="46">
        <v>42000</v>
      </c>
      <c r="D113" s="47">
        <v>42000</v>
      </c>
      <c r="E113" s="119">
        <v>42000</v>
      </c>
      <c r="F113" s="50">
        <v>42000</v>
      </c>
      <c r="G113" s="50">
        <v>43260</v>
      </c>
      <c r="H113" s="50">
        <v>44557.80000000001</v>
      </c>
      <c r="I113" s="50">
        <v>45894.534000000014</v>
      </c>
      <c r="J113" s="51">
        <v>47271.370019999995</v>
      </c>
    </row>
    <row r="114" spans="2:10">
      <c r="B114" s="32" t="s">
        <v>85</v>
      </c>
      <c r="C114" s="46">
        <v>57889.099999999991</v>
      </c>
      <c r="D114" s="47">
        <v>52408.84</v>
      </c>
      <c r="E114" s="119">
        <v>54999.59</v>
      </c>
      <c r="F114" s="50">
        <v>57682.965620499599</v>
      </c>
      <c r="G114" s="50">
        <v>57682.965620499599</v>
      </c>
      <c r="H114" s="50">
        <v>59413.454589114583</v>
      </c>
      <c r="I114" s="50">
        <v>61195.858226788012</v>
      </c>
      <c r="J114" s="51">
        <v>63031.733973591683</v>
      </c>
    </row>
    <row r="115" spans="2:10">
      <c r="B115" s="32" t="s">
        <v>86</v>
      </c>
      <c r="C115" s="46">
        <v>219435.62</v>
      </c>
      <c r="D115" s="47">
        <v>169121.26</v>
      </c>
      <c r="E115" s="119">
        <v>255271.72999999995</v>
      </c>
      <c r="F115" s="50">
        <v>303964.853</v>
      </c>
      <c r="G115" s="50">
        <v>79382.525389999995</v>
      </c>
      <c r="H115" s="50">
        <v>86252.221151700011</v>
      </c>
      <c r="I115" s="50">
        <v>78943.107786251014</v>
      </c>
      <c r="J115" s="51">
        <v>75832.93101983855</v>
      </c>
    </row>
    <row r="116" spans="2:10" ht="15" hidden="1" customHeight="1" outlineLevel="1">
      <c r="B116" s="131" t="s">
        <v>87</v>
      </c>
      <c r="C116" s="46">
        <v>0</v>
      </c>
      <c r="D116" s="47">
        <v>0</v>
      </c>
      <c r="E116" s="119">
        <v>0</v>
      </c>
      <c r="F116" s="66">
        <v>0</v>
      </c>
      <c r="G116" s="66">
        <v>0</v>
      </c>
      <c r="H116" s="66">
        <v>0</v>
      </c>
      <c r="I116" s="66">
        <v>0</v>
      </c>
      <c r="J116" s="67">
        <v>0</v>
      </c>
    </row>
    <row r="117" spans="2:10" ht="15" hidden="1" customHeight="1" outlineLevel="1">
      <c r="B117" s="131" t="s">
        <v>88</v>
      </c>
      <c r="C117" s="46">
        <v>0</v>
      </c>
      <c r="D117" s="47">
        <v>0</v>
      </c>
      <c r="E117" s="119">
        <v>0</v>
      </c>
      <c r="F117" s="66">
        <v>0</v>
      </c>
      <c r="G117" s="66">
        <v>0</v>
      </c>
      <c r="H117" s="66">
        <v>0</v>
      </c>
      <c r="I117" s="66">
        <v>0</v>
      </c>
      <c r="J117" s="67">
        <v>0</v>
      </c>
    </row>
    <row r="118" spans="2:10" collapsed="1">
      <c r="B118" s="32" t="s">
        <v>89</v>
      </c>
      <c r="C118" s="46">
        <v>45079.9</v>
      </c>
      <c r="D118" s="47">
        <v>89909.23000000001</v>
      </c>
      <c r="E118" s="119">
        <v>126062.12</v>
      </c>
      <c r="F118" s="50">
        <v>221138.29909090907</v>
      </c>
      <c r="G118" s="50">
        <v>88833.862500000003</v>
      </c>
      <c r="H118" s="50">
        <v>91498.878375</v>
      </c>
      <c r="I118" s="50">
        <v>94243.844726249998</v>
      </c>
      <c r="J118" s="51">
        <v>97071.160068037498</v>
      </c>
    </row>
    <row r="119" spans="2:10">
      <c r="B119" s="32" t="s">
        <v>90</v>
      </c>
      <c r="C119" s="46">
        <v>50305.749999999985</v>
      </c>
      <c r="D119" s="47">
        <v>39265.72</v>
      </c>
      <c r="E119" s="119">
        <v>20880</v>
      </c>
      <c r="F119" s="50">
        <v>22920</v>
      </c>
      <c r="G119" s="50">
        <v>23607.600000000009</v>
      </c>
      <c r="H119" s="50">
        <v>24315.828000000001</v>
      </c>
      <c r="I119" s="50">
        <v>25045.302840000011</v>
      </c>
      <c r="J119" s="51">
        <v>25796.661925199998</v>
      </c>
    </row>
    <row r="120" spans="2:10">
      <c r="B120" s="32" t="s">
        <v>91</v>
      </c>
      <c r="C120" s="46">
        <v>124845</v>
      </c>
      <c r="D120" s="47">
        <v>183868.2</v>
      </c>
      <c r="E120" s="119">
        <v>182865.34000000003</v>
      </c>
      <c r="F120" s="50">
        <v>242747.25</v>
      </c>
      <c r="G120" s="50">
        <v>250029.66750000001</v>
      </c>
      <c r="H120" s="50">
        <v>282533.52427499997</v>
      </c>
      <c r="I120" s="50">
        <v>313612.21194524999</v>
      </c>
      <c r="J120" s="51">
        <v>344973.43313977495</v>
      </c>
    </row>
    <row r="121" spans="2:10">
      <c r="B121" s="32" t="s">
        <v>92</v>
      </c>
      <c r="C121" s="53">
        <f t="shared" ref="C121:J121" si="20">C122-SUM(C105:C120)</f>
        <v>5750.7399999999907</v>
      </c>
      <c r="D121" s="54">
        <f t="shared" si="20"/>
        <v>5310.7399999999907</v>
      </c>
      <c r="E121" s="132">
        <f t="shared" si="20"/>
        <v>7380.5200000000186</v>
      </c>
      <c r="F121" s="69">
        <f t="shared" si="20"/>
        <v>9183.8200000000652</v>
      </c>
      <c r="G121" s="69">
        <f t="shared" si="20"/>
        <v>5802.3195999998134</v>
      </c>
      <c r="H121" s="69">
        <f t="shared" si="20"/>
        <v>5976.3891879997682</v>
      </c>
      <c r="I121" s="69">
        <f t="shared" si="20"/>
        <v>6155.6808636400383</v>
      </c>
      <c r="J121" s="70">
        <f t="shared" si="20"/>
        <v>6340.351289549144</v>
      </c>
    </row>
    <row r="122" spans="2:10" ht="15" thickBot="1">
      <c r="B122" s="133" t="s">
        <v>93</v>
      </c>
      <c r="C122" s="134">
        <v>1123945.3400000001</v>
      </c>
      <c r="D122" s="135">
        <v>1254363.95</v>
      </c>
      <c r="E122" s="136">
        <v>1437649.89</v>
      </c>
      <c r="F122" s="137">
        <v>1682328.3896657838</v>
      </c>
      <c r="G122" s="137">
        <v>1267154.2072237476</v>
      </c>
      <c r="H122" s="137">
        <v>1361348.5961646396</v>
      </c>
      <c r="I122" s="137">
        <v>1480859.7728488625</v>
      </c>
      <c r="J122" s="138">
        <v>1565480.3392080686</v>
      </c>
    </row>
    <row r="123" spans="2:10" ht="9" customHeight="1">
      <c r="B123" s="139"/>
      <c r="C123" s="140"/>
      <c r="D123" s="141"/>
      <c r="E123" s="142"/>
      <c r="F123" s="88"/>
      <c r="G123" s="88"/>
      <c r="H123" s="88"/>
      <c r="I123" s="88"/>
      <c r="J123" s="143"/>
    </row>
    <row r="124" spans="2:10" ht="12.75" customHeight="1" thickBot="1">
      <c r="B124" s="115" t="s">
        <v>94</v>
      </c>
      <c r="C124" s="144"/>
      <c r="D124" s="141"/>
      <c r="E124" s="145"/>
      <c r="F124" s="88"/>
      <c r="G124" s="88"/>
      <c r="H124" s="88"/>
      <c r="I124" s="88"/>
      <c r="J124" s="146"/>
    </row>
    <row r="125" spans="2:10">
      <c r="B125" s="32" t="s">
        <v>95</v>
      </c>
      <c r="C125" s="147">
        <f>ROUND(C46+C48,0)</f>
        <v>309785</v>
      </c>
      <c r="D125" s="148">
        <f t="shared" ref="D125:J125" si="21">ROUND(D46+D48,0)</f>
        <v>393767</v>
      </c>
      <c r="E125" s="149">
        <f t="shared" si="21"/>
        <v>352325</v>
      </c>
      <c r="F125" s="150">
        <f t="shared" si="21"/>
        <v>459508</v>
      </c>
      <c r="G125" s="150">
        <f t="shared" si="21"/>
        <v>407618</v>
      </c>
      <c r="H125" s="150">
        <f t="shared" si="21"/>
        <v>442533</v>
      </c>
      <c r="I125" s="150">
        <f t="shared" si="21"/>
        <v>509274</v>
      </c>
      <c r="J125" s="151">
        <f t="shared" si="21"/>
        <v>544595</v>
      </c>
    </row>
    <row r="126" spans="2:10">
      <c r="B126" s="32" t="s">
        <v>96</v>
      </c>
      <c r="C126" s="152">
        <f t="shared" ref="C126:J126" si="22">IFERROR((C37+SUM(C40:C44))/C125, 0)</f>
        <v>1.8126006423810068</v>
      </c>
      <c r="D126" s="153">
        <f t="shared" si="22"/>
        <v>0.76731214144405713</v>
      </c>
      <c r="E126" s="154">
        <f t="shared" si="22"/>
        <v>0.81683281061520496</v>
      </c>
      <c r="F126" s="155">
        <f t="shared" si="22"/>
        <v>1.1331148230580737</v>
      </c>
      <c r="G126" s="155">
        <f t="shared" si="22"/>
        <v>1.1000667852567891</v>
      </c>
      <c r="H126" s="155">
        <f t="shared" si="22"/>
        <v>1.0287633308464177</v>
      </c>
      <c r="I126" s="155">
        <f t="shared" si="22"/>
        <v>1.9500628046705033</v>
      </c>
      <c r="J126" s="156">
        <f t="shared" si="22"/>
        <v>2.1920781629600308</v>
      </c>
    </row>
    <row r="127" spans="2:10">
      <c r="B127" s="32" t="s">
        <v>97</v>
      </c>
      <c r="C127" s="157">
        <f t="shared" ref="C127:J127" si="23">IFERROR(C98/B98, 0)</f>
        <v>0</v>
      </c>
      <c r="D127" s="158">
        <f t="shared" si="23"/>
        <v>1.282801553388603</v>
      </c>
      <c r="E127" s="159">
        <f t="shared" si="23"/>
        <v>1.0043948873208406</v>
      </c>
      <c r="F127" s="160">
        <f t="shared" si="23"/>
        <v>1.0338232702211827</v>
      </c>
      <c r="G127" s="160">
        <f t="shared" si="23"/>
        <v>1</v>
      </c>
      <c r="H127" s="160">
        <f t="shared" si="23"/>
        <v>1.0957446808510638</v>
      </c>
      <c r="I127" s="160">
        <f t="shared" si="23"/>
        <v>1.080906148867314</v>
      </c>
      <c r="J127" s="161">
        <f t="shared" si="23"/>
        <v>1.0748502994011977</v>
      </c>
    </row>
    <row r="128" spans="2:10">
      <c r="B128" s="32" t="s">
        <v>98</v>
      </c>
      <c r="C128" s="157">
        <f t="shared" ref="C128:J128" si="24">IFERROR(C29/B29, 0)</f>
        <v>0</v>
      </c>
      <c r="D128" s="158">
        <f t="shared" si="24"/>
        <v>0.46960201650796918</v>
      </c>
      <c r="E128" s="159">
        <f t="shared" si="24"/>
        <v>9.8899521352958395</v>
      </c>
      <c r="F128" s="160">
        <f t="shared" si="24"/>
        <v>0.79285199989546784</v>
      </c>
      <c r="G128" s="160">
        <f t="shared" si="24"/>
        <v>0</v>
      </c>
      <c r="H128" s="160">
        <f t="shared" si="24"/>
        <v>0</v>
      </c>
      <c r="I128" s="160">
        <f t="shared" si="24"/>
        <v>0</v>
      </c>
      <c r="J128" s="161">
        <f t="shared" si="24"/>
        <v>0</v>
      </c>
    </row>
    <row r="129" spans="2:10">
      <c r="B129" s="32" t="s">
        <v>99</v>
      </c>
      <c r="C129" s="157">
        <f t="shared" ref="C129:J129" si="25">IFERROR(C20/B20, 0)</f>
        <v>0</v>
      </c>
      <c r="D129" s="158">
        <f t="shared" si="25"/>
        <v>1.3150080501834076</v>
      </c>
      <c r="E129" s="159">
        <f t="shared" si="25"/>
        <v>1.0260371501916969</v>
      </c>
      <c r="F129" s="160">
        <f t="shared" si="25"/>
        <v>1.063172210483224</v>
      </c>
      <c r="G129" s="160">
        <f t="shared" si="25"/>
        <v>1.0525307946712161</v>
      </c>
      <c r="H129" s="160">
        <f t="shared" si="25"/>
        <v>1.0923992461626932</v>
      </c>
      <c r="I129" s="160">
        <f t="shared" si="25"/>
        <v>1.1611739953622759</v>
      </c>
      <c r="J129" s="161">
        <f t="shared" si="25"/>
        <v>1.0737174960840994</v>
      </c>
    </row>
    <row r="130" spans="2:10">
      <c r="B130" s="32" t="s">
        <v>100</v>
      </c>
      <c r="C130" s="157">
        <f t="shared" ref="C130:J130" si="26">IFERROR(C51/B51, 0)</f>
        <v>0</v>
      </c>
      <c r="D130" s="158">
        <f t="shared" si="26"/>
        <v>6.5663977279031238</v>
      </c>
      <c r="E130" s="159">
        <f t="shared" si="26"/>
        <v>0.88952897497943384</v>
      </c>
      <c r="F130" s="160">
        <f t="shared" si="26"/>
        <v>0.29550336958515022</v>
      </c>
      <c r="G130" s="160">
        <f t="shared" si="26"/>
        <v>0.66971887017328613</v>
      </c>
      <c r="H130" s="160">
        <f t="shared" si="26"/>
        <v>1.1826319863372832</v>
      </c>
      <c r="I130" s="160">
        <f t="shared" si="26"/>
        <v>0.71674339367620798</v>
      </c>
      <c r="J130" s="161">
        <f t="shared" si="26"/>
        <v>1.0205175867976555</v>
      </c>
    </row>
    <row r="131" spans="2:10">
      <c r="B131" s="32" t="s">
        <v>101</v>
      </c>
      <c r="C131" s="162">
        <f t="shared" ref="C131:J131" si="27">IFERROR(C57/((C34+SUM(C46:C48))/365), 0)</f>
        <v>10.652041550775003</v>
      </c>
      <c r="D131" s="163">
        <f t="shared" si="27"/>
        <v>9.2224731749262894</v>
      </c>
      <c r="E131" s="164">
        <f t="shared" si="27"/>
        <v>7.5715295942785561</v>
      </c>
      <c r="F131" s="155">
        <f t="shared" si="27"/>
        <v>10.29910429372922</v>
      </c>
      <c r="G131" s="165">
        <f t="shared" si="27"/>
        <v>5.8070869719766645</v>
      </c>
      <c r="H131" s="165">
        <f t="shared" si="27"/>
        <v>5.2958723379516046</v>
      </c>
      <c r="I131" s="165">
        <f t="shared" si="27"/>
        <v>5.2824556912316947</v>
      </c>
      <c r="J131" s="166">
        <f t="shared" si="27"/>
        <v>53.394164333992748</v>
      </c>
    </row>
    <row r="132" spans="2:10" ht="15" thickBot="1">
      <c r="B132" s="28" t="s">
        <v>102</v>
      </c>
      <c r="C132" s="167">
        <f t="shared" ref="C132:J132" si="28">IFERROR((C34-C47)/C98, 0)</f>
        <v>11418.395675833608</v>
      </c>
      <c r="D132" s="168">
        <f t="shared" si="28"/>
        <v>14354.381980809378</v>
      </c>
      <c r="E132" s="169">
        <f t="shared" si="28"/>
        <v>13835.43232766499</v>
      </c>
      <c r="F132" s="170">
        <f t="shared" si="28"/>
        <v>12746.18527121383</v>
      </c>
      <c r="G132" s="170">
        <f t="shared" si="28"/>
        <v>12703.449791086883</v>
      </c>
      <c r="H132" s="170">
        <f t="shared" si="28"/>
        <v>12697.772775271542</v>
      </c>
      <c r="I132" s="170">
        <f t="shared" si="28"/>
        <v>11979.712036070187</v>
      </c>
      <c r="J132" s="171">
        <f t="shared" si="28"/>
        <v>11546.604184485961</v>
      </c>
    </row>
    <row r="133" spans="2:10" ht="15.75" hidden="1" customHeight="1" outlineLevel="1" thickBot="1">
      <c r="C133" s="172"/>
      <c r="D133" s="172"/>
      <c r="E133" s="172"/>
      <c r="F133"/>
      <c r="G133"/>
      <c r="H133"/>
      <c r="I133"/>
      <c r="J133"/>
    </row>
    <row r="134" spans="2:10" ht="15" hidden="1" customHeight="1" outlineLevel="1">
      <c r="B134" s="173" t="s">
        <v>103</v>
      </c>
      <c r="C134" s="174"/>
      <c r="D134" s="174"/>
      <c r="E134" s="174"/>
      <c r="F134" s="175"/>
      <c r="G134" s="175"/>
      <c r="H134" s="175"/>
      <c r="I134" s="175"/>
      <c r="J134" s="175"/>
    </row>
    <row r="135" spans="2:10" ht="15" hidden="1" customHeight="1" outlineLevel="1">
      <c r="B135" s="32"/>
      <c r="C135" s="172"/>
      <c r="D135" s="172"/>
      <c r="E135" s="172"/>
      <c r="F135"/>
      <c r="G135"/>
      <c r="H135"/>
      <c r="I135"/>
      <c r="J135"/>
    </row>
    <row r="136" spans="2:10" ht="15" hidden="1" customHeight="1" outlineLevel="1">
      <c r="B136" s="115" t="str">
        <f>F12&amp;" Budget Assumptions"</f>
        <v>FY2024 Budget Assumptions</v>
      </c>
      <c r="C136" s="172"/>
      <c r="D136" s="172"/>
      <c r="E136" s="172"/>
      <c r="F136"/>
      <c r="G136"/>
      <c r="H136"/>
      <c r="I136"/>
      <c r="J136"/>
    </row>
    <row r="137" spans="2:10" ht="15" hidden="1" customHeight="1" outlineLevel="1">
      <c r="B137" s="32"/>
      <c r="C137" s="172"/>
      <c r="D137" s="172"/>
      <c r="E137" s="172"/>
      <c r="F137"/>
      <c r="G137"/>
      <c r="H137"/>
      <c r="I137"/>
      <c r="J137"/>
    </row>
    <row r="138" spans="2:10" ht="15" hidden="1" customHeight="1" outlineLevel="1">
      <c r="B138" s="32"/>
      <c r="C138" s="172"/>
      <c r="D138" s="172"/>
      <c r="E138" s="172"/>
      <c r="F138"/>
      <c r="G138"/>
      <c r="H138"/>
      <c r="I138"/>
      <c r="J138"/>
    </row>
    <row r="139" spans="2:10" ht="15" hidden="1" customHeight="1" outlineLevel="1">
      <c r="B139" s="115" t="s">
        <v>5</v>
      </c>
      <c r="C139" s="172"/>
      <c r="D139" s="172"/>
      <c r="E139" s="172"/>
      <c r="F139"/>
      <c r="G139"/>
      <c r="H139"/>
      <c r="I139"/>
      <c r="J139"/>
    </row>
    <row r="140" spans="2:10" ht="15" hidden="1" customHeight="1" outlineLevel="1">
      <c r="B140" s="115" t="s">
        <v>104</v>
      </c>
      <c r="C140" s="172"/>
      <c r="D140" s="172"/>
      <c r="E140" s="172"/>
      <c r="F140"/>
      <c r="G140"/>
      <c r="H140"/>
      <c r="I140"/>
      <c r="J140"/>
    </row>
    <row r="141" spans="2:10" ht="15" hidden="1" customHeight="1" outlineLevel="1">
      <c r="B141" s="176" t="s">
        <v>105</v>
      </c>
      <c r="C141" s="172"/>
      <c r="D141" s="172"/>
      <c r="E141" s="172"/>
      <c r="F141"/>
      <c r="G141"/>
      <c r="H141"/>
      <c r="I141"/>
      <c r="J141"/>
    </row>
    <row r="142" spans="2:10" ht="15" hidden="1" customHeight="1" outlineLevel="1">
      <c r="B142" s="115" t="s">
        <v>104</v>
      </c>
      <c r="C142" s="172"/>
      <c r="D142" s="172"/>
      <c r="E142" s="172"/>
      <c r="F142"/>
      <c r="G142"/>
      <c r="H142"/>
      <c r="I142"/>
      <c r="J142"/>
    </row>
    <row r="143" spans="2:10" ht="15" hidden="1" customHeight="1" outlineLevel="1">
      <c r="B143" s="115" t="s">
        <v>106</v>
      </c>
      <c r="C143" s="172"/>
      <c r="D143" s="172"/>
      <c r="E143" s="172"/>
      <c r="F143"/>
      <c r="G143"/>
      <c r="H143"/>
      <c r="I143"/>
      <c r="J143"/>
    </row>
    <row r="144" spans="2:10" ht="15" hidden="1" customHeight="1" outlineLevel="1">
      <c r="B144" s="32" t="s">
        <v>107</v>
      </c>
      <c r="C144" s="172"/>
      <c r="D144" s="172"/>
      <c r="E144" s="172"/>
      <c r="F144"/>
      <c r="G144"/>
      <c r="H144"/>
      <c r="I144"/>
      <c r="J144"/>
    </row>
    <row r="145" spans="2:10" ht="15" hidden="1" customHeight="1" outlineLevel="1">
      <c r="B145" s="32" t="s">
        <v>104</v>
      </c>
      <c r="C145" s="172"/>
      <c r="D145" s="172"/>
      <c r="E145" s="172"/>
      <c r="F145"/>
      <c r="G145"/>
      <c r="H145"/>
      <c r="I145"/>
      <c r="J145"/>
    </row>
    <row r="146" spans="2:10" ht="15" hidden="1" customHeight="1" outlineLevel="1">
      <c r="B146" s="32" t="s">
        <v>108</v>
      </c>
      <c r="C146" s="172"/>
      <c r="D146" s="172"/>
      <c r="E146" s="172"/>
      <c r="F146"/>
      <c r="G146"/>
      <c r="H146"/>
      <c r="I146"/>
      <c r="J146"/>
    </row>
    <row r="147" spans="2:10" ht="15" hidden="1" customHeight="1" outlineLevel="1">
      <c r="B147" s="32" t="s">
        <v>104</v>
      </c>
      <c r="C147" s="172"/>
      <c r="D147" s="172"/>
      <c r="E147" s="172"/>
      <c r="F147"/>
      <c r="G147"/>
      <c r="H147"/>
      <c r="I147"/>
      <c r="J147"/>
    </row>
    <row r="148" spans="2:10" ht="15" hidden="1" customHeight="1" outlineLevel="1">
      <c r="B148" s="32" t="s">
        <v>109</v>
      </c>
      <c r="C148" s="172"/>
      <c r="D148" s="172"/>
      <c r="E148" s="172"/>
      <c r="F148"/>
      <c r="G148"/>
      <c r="H148"/>
      <c r="I148"/>
      <c r="J148"/>
    </row>
    <row r="149" spans="2:10" ht="15" hidden="1" customHeight="1" outlineLevel="1">
      <c r="B149" s="32" t="s">
        <v>104</v>
      </c>
      <c r="C149" s="172"/>
      <c r="D149" s="172"/>
      <c r="E149" s="172"/>
      <c r="F149"/>
      <c r="G149"/>
      <c r="H149"/>
      <c r="I149"/>
      <c r="J149"/>
    </row>
    <row r="150" spans="2:10" s="179" customFormat="1" ht="15" hidden="1" customHeight="1" outlineLevel="1">
      <c r="B150" s="177" t="s">
        <v>110</v>
      </c>
      <c r="C150" s="178"/>
      <c r="D150" s="178"/>
      <c r="E150" s="178"/>
      <c r="F150" s="2"/>
      <c r="G150" s="2"/>
      <c r="H150" s="2"/>
      <c r="I150" s="2"/>
      <c r="J150" s="2"/>
    </row>
    <row r="151" spans="2:10" ht="15" hidden="1" customHeight="1" outlineLevel="1">
      <c r="B151" s="32"/>
      <c r="C151" s="180"/>
      <c r="D151" s="180"/>
      <c r="E151" s="180"/>
      <c r="F151" s="50"/>
      <c r="G151" s="50"/>
      <c r="H151" s="50"/>
      <c r="I151" s="50"/>
      <c r="J151" s="50"/>
    </row>
    <row r="152" spans="2:10" ht="15" hidden="1" customHeight="1" outlineLevel="1">
      <c r="B152" s="32" t="s">
        <v>104</v>
      </c>
      <c r="C152" s="172"/>
      <c r="D152" s="172"/>
      <c r="E152" s="172"/>
      <c r="F152"/>
      <c r="G152"/>
      <c r="H152"/>
      <c r="I152"/>
      <c r="J152"/>
    </row>
    <row r="153" spans="2:10" ht="15" hidden="1" customHeight="1" outlineLevel="1">
      <c r="B153" s="115" t="s">
        <v>111</v>
      </c>
      <c r="C153" s="172"/>
      <c r="D153" s="172"/>
      <c r="E153" s="172"/>
      <c r="F153"/>
      <c r="G153"/>
      <c r="H153"/>
      <c r="I153"/>
      <c r="J153"/>
    </row>
    <row r="154" spans="2:10" ht="15" hidden="1" customHeight="1" outlineLevel="1">
      <c r="B154" s="32" t="s">
        <v>112</v>
      </c>
      <c r="C154" s="172"/>
      <c r="D154" s="172"/>
      <c r="E154" s="172"/>
      <c r="F154"/>
      <c r="G154"/>
      <c r="H154"/>
      <c r="I154"/>
      <c r="J154"/>
    </row>
    <row r="155" spans="2:10" ht="15" hidden="1" customHeight="1" outlineLevel="1">
      <c r="B155" s="32" t="e">
        <v>#REF!</v>
      </c>
      <c r="C155" s="172"/>
      <c r="D155" s="172"/>
      <c r="E155" s="172"/>
      <c r="F155"/>
      <c r="G155"/>
      <c r="H155"/>
      <c r="I155"/>
      <c r="J155"/>
    </row>
    <row r="156" spans="2:10" ht="15" hidden="1" customHeight="1" outlineLevel="1">
      <c r="B156" s="32" t="e">
        <v>#REF!</v>
      </c>
      <c r="C156" s="172"/>
      <c r="D156" s="172"/>
      <c r="E156" s="172"/>
      <c r="F156"/>
      <c r="G156"/>
      <c r="H156"/>
      <c r="I156"/>
      <c r="J156"/>
    </row>
    <row r="157" spans="2:10" ht="15" hidden="1" customHeight="1" outlineLevel="1">
      <c r="B157" s="32" t="e">
        <v>#REF!</v>
      </c>
      <c r="C157" s="172"/>
      <c r="D157" s="172"/>
      <c r="E157" s="172"/>
      <c r="F157"/>
      <c r="G157"/>
      <c r="H157"/>
      <c r="I157"/>
      <c r="J157"/>
    </row>
    <row r="158" spans="2:10" ht="15" hidden="1" customHeight="1" outlineLevel="1">
      <c r="B158" s="32" t="s">
        <v>113</v>
      </c>
      <c r="C158" s="172"/>
      <c r="D158" s="172"/>
      <c r="E158" s="172"/>
      <c r="F158"/>
      <c r="G158"/>
      <c r="H158"/>
      <c r="I158"/>
      <c r="J158"/>
    </row>
    <row r="159" spans="2:10" ht="15" hidden="1" customHeight="1" outlineLevel="1">
      <c r="B159" s="32" t="s">
        <v>104</v>
      </c>
      <c r="C159" s="172"/>
      <c r="D159" s="172"/>
      <c r="E159" s="172"/>
      <c r="F159"/>
      <c r="G159"/>
      <c r="H159"/>
      <c r="I159"/>
      <c r="J159"/>
    </row>
    <row r="160" spans="2:10" ht="15" hidden="1" customHeight="1" outlineLevel="1">
      <c r="B160" s="32" t="s">
        <v>114</v>
      </c>
      <c r="C160" s="172"/>
      <c r="D160" s="172"/>
      <c r="E160" s="172"/>
      <c r="F160"/>
      <c r="G160"/>
      <c r="H160"/>
      <c r="I160"/>
      <c r="J160"/>
    </row>
    <row r="161" spans="2:10" ht="15" hidden="1" customHeight="1" outlineLevel="1">
      <c r="B161" s="32" t="s">
        <v>104</v>
      </c>
      <c r="C161" s="172"/>
      <c r="D161" s="172"/>
      <c r="E161" s="172"/>
      <c r="F161"/>
      <c r="G161"/>
      <c r="H161"/>
      <c r="I161"/>
      <c r="J161"/>
    </row>
    <row r="162" spans="2:10" ht="15" hidden="1" customHeight="1" outlineLevel="1">
      <c r="B162" s="32" t="s">
        <v>115</v>
      </c>
      <c r="C162" s="172"/>
      <c r="D162" s="172"/>
      <c r="E162" s="172"/>
      <c r="F162"/>
      <c r="G162"/>
      <c r="H162"/>
      <c r="I162"/>
      <c r="J162"/>
    </row>
    <row r="163" spans="2:10" ht="15" hidden="1" customHeight="1" outlineLevel="1">
      <c r="B163" s="32" t="s">
        <v>104</v>
      </c>
      <c r="C163" s="172"/>
      <c r="D163" s="172"/>
      <c r="E163" s="172"/>
      <c r="F163"/>
      <c r="G163"/>
      <c r="H163"/>
      <c r="I163"/>
      <c r="J163"/>
    </row>
    <row r="164" spans="2:10" ht="15" hidden="1" customHeight="1" outlineLevel="1">
      <c r="B164" s="32" t="s">
        <v>104</v>
      </c>
      <c r="C164" s="172"/>
      <c r="D164" s="172"/>
      <c r="E164" s="172"/>
      <c r="F164"/>
      <c r="G164"/>
      <c r="H164"/>
      <c r="I164"/>
      <c r="J164"/>
    </row>
    <row r="165" spans="2:10" ht="15" hidden="1" customHeight="1" outlineLevel="1">
      <c r="B165" s="115" t="s">
        <v>116</v>
      </c>
      <c r="C165" s="172"/>
      <c r="D165" s="172"/>
      <c r="E165" s="172"/>
      <c r="F165"/>
      <c r="G165"/>
      <c r="H165"/>
      <c r="I165"/>
      <c r="J165"/>
    </row>
    <row r="166" spans="2:10" ht="15" hidden="1" customHeight="1" outlineLevel="1">
      <c r="B166" s="32" t="s">
        <v>117</v>
      </c>
      <c r="C166" s="172"/>
      <c r="D166" s="172"/>
      <c r="E166" s="172"/>
      <c r="F166"/>
      <c r="G166"/>
      <c r="H166"/>
      <c r="I166"/>
      <c r="J166"/>
    </row>
    <row r="167" spans="2:10" ht="15" hidden="1" customHeight="1" outlineLevel="1">
      <c r="B167" s="32" t="s">
        <v>104</v>
      </c>
      <c r="C167" s="172"/>
      <c r="D167" s="172"/>
      <c r="E167" s="172"/>
      <c r="F167"/>
      <c r="G167"/>
      <c r="H167"/>
      <c r="I167"/>
      <c r="J167"/>
    </row>
    <row r="168" spans="2:10" ht="15" hidden="1" customHeight="1" outlineLevel="1">
      <c r="B168" s="32" t="s">
        <v>118</v>
      </c>
      <c r="C168" s="172"/>
      <c r="D168" s="172"/>
      <c r="E168" s="172"/>
      <c r="F168"/>
      <c r="G168"/>
      <c r="H168"/>
      <c r="I168"/>
      <c r="J168"/>
    </row>
    <row r="169" spans="2:10" ht="15" hidden="1" customHeight="1" outlineLevel="1">
      <c r="B169" s="32" t="s">
        <v>104</v>
      </c>
      <c r="C169" s="172"/>
      <c r="D169" s="172"/>
      <c r="E169" s="172"/>
      <c r="F169"/>
      <c r="G169"/>
      <c r="H169"/>
      <c r="I169"/>
      <c r="J169"/>
    </row>
    <row r="170" spans="2:10" ht="15" hidden="1" customHeight="1" outlineLevel="1">
      <c r="B170" s="32" t="s">
        <v>119</v>
      </c>
      <c r="C170" s="172"/>
      <c r="D170" s="172"/>
      <c r="E170" s="172"/>
      <c r="F170"/>
      <c r="G170"/>
      <c r="H170"/>
      <c r="I170"/>
      <c r="J170"/>
    </row>
    <row r="171" spans="2:10" ht="15" hidden="1" customHeight="1" outlineLevel="1">
      <c r="B171" s="32" t="s">
        <v>104</v>
      </c>
      <c r="C171" s="172"/>
      <c r="D171" s="172"/>
      <c r="E171" s="172"/>
      <c r="F171"/>
      <c r="G171"/>
      <c r="H171"/>
      <c r="I171"/>
      <c r="J171"/>
    </row>
    <row r="172" spans="2:10" ht="15" hidden="1" customHeight="1" outlineLevel="1">
      <c r="B172" s="32" t="s">
        <v>120</v>
      </c>
      <c r="C172" s="172"/>
      <c r="D172" s="172"/>
      <c r="E172" s="172"/>
      <c r="F172"/>
      <c r="G172"/>
      <c r="H172"/>
      <c r="I172"/>
      <c r="J172"/>
    </row>
    <row r="173" spans="2:10" ht="15" hidden="1" customHeight="1" outlineLevel="1">
      <c r="B173" s="32" t="s">
        <v>104</v>
      </c>
      <c r="C173" s="172"/>
      <c r="D173" s="172"/>
      <c r="E173" s="172"/>
      <c r="F173"/>
      <c r="G173"/>
      <c r="H173"/>
      <c r="I173"/>
      <c r="J173"/>
    </row>
    <row r="174" spans="2:10" ht="15" hidden="1" customHeight="1" outlineLevel="1">
      <c r="B174" s="115" t="s">
        <v>121</v>
      </c>
      <c r="C174" s="172"/>
      <c r="D174" s="172"/>
      <c r="E174" s="172"/>
      <c r="F174"/>
      <c r="G174"/>
      <c r="H174"/>
      <c r="I174"/>
      <c r="J174"/>
    </row>
    <row r="175" spans="2:10" ht="15" hidden="1" customHeight="1" outlineLevel="1">
      <c r="B175" s="32" t="s">
        <v>122</v>
      </c>
      <c r="C175" s="172"/>
      <c r="D175" s="172"/>
      <c r="E175" s="172"/>
      <c r="F175"/>
      <c r="G175"/>
      <c r="H175"/>
      <c r="I175"/>
      <c r="J175"/>
    </row>
    <row r="176" spans="2:10" ht="15" hidden="1" customHeight="1" outlineLevel="1">
      <c r="B176" s="32" t="s">
        <v>104</v>
      </c>
      <c r="C176" s="172"/>
      <c r="D176" s="172"/>
      <c r="E176" s="172"/>
      <c r="F176"/>
      <c r="G176"/>
      <c r="H176"/>
      <c r="I176"/>
      <c r="J176"/>
    </row>
    <row r="177" spans="2:10" ht="15" hidden="1" customHeight="1" outlineLevel="1">
      <c r="B177" s="32" t="s">
        <v>123</v>
      </c>
      <c r="C177" s="172"/>
      <c r="D177" s="172"/>
      <c r="E177" s="172"/>
      <c r="F177"/>
      <c r="G177"/>
      <c r="H177"/>
      <c r="I177"/>
      <c r="J177"/>
    </row>
    <row r="178" spans="2:10" ht="15" hidden="1" customHeight="1" outlineLevel="1">
      <c r="B178" s="32" t="s">
        <v>104</v>
      </c>
      <c r="C178" s="172"/>
      <c r="D178" s="172"/>
      <c r="E178" s="172"/>
      <c r="F178"/>
      <c r="G178"/>
      <c r="H178"/>
      <c r="I178"/>
      <c r="J178"/>
    </row>
    <row r="179" spans="2:10" ht="15" hidden="1" customHeight="1" outlineLevel="1">
      <c r="B179" s="32" t="s">
        <v>124</v>
      </c>
      <c r="C179" s="172"/>
      <c r="D179" s="172"/>
      <c r="E179" s="172"/>
      <c r="F179"/>
      <c r="G179"/>
      <c r="H179"/>
      <c r="I179"/>
      <c r="J179"/>
    </row>
    <row r="180" spans="2:10" ht="15" hidden="1" customHeight="1" outlineLevel="1">
      <c r="B180" s="32" t="s">
        <v>104</v>
      </c>
      <c r="C180" s="172"/>
      <c r="D180" s="172"/>
      <c r="E180" s="172"/>
      <c r="F180"/>
      <c r="G180"/>
      <c r="H180"/>
      <c r="I180"/>
      <c r="J180"/>
    </row>
    <row r="181" spans="2:10" ht="15" hidden="1" customHeight="1" outlineLevel="1">
      <c r="B181" s="32" t="e">
        <v>#REF!</v>
      </c>
      <c r="C181" s="172"/>
      <c r="D181" s="172"/>
      <c r="E181" s="172"/>
      <c r="F181"/>
      <c r="G181"/>
      <c r="H181"/>
      <c r="I181"/>
      <c r="J181"/>
    </row>
    <row r="182" spans="2:10" ht="15" hidden="1" customHeight="1" outlineLevel="1">
      <c r="B182" s="32" t="s">
        <v>104</v>
      </c>
      <c r="C182" s="172"/>
      <c r="D182" s="172"/>
      <c r="E182" s="172"/>
      <c r="F182"/>
      <c r="G182"/>
      <c r="H182"/>
      <c r="I182"/>
      <c r="J182"/>
    </row>
    <row r="183" spans="2:10" ht="15" hidden="1" customHeight="1" outlineLevel="1">
      <c r="B183" s="32" t="e">
        <v>#REF!</v>
      </c>
      <c r="C183" s="172"/>
      <c r="D183" s="172"/>
      <c r="E183" s="172"/>
      <c r="F183"/>
      <c r="G183"/>
      <c r="H183"/>
      <c r="I183"/>
      <c r="J183"/>
    </row>
    <row r="184" spans="2:10" ht="15" hidden="1" customHeight="1" outlineLevel="1">
      <c r="B184" s="32" t="e">
        <v>#REF!</v>
      </c>
      <c r="C184" s="172"/>
      <c r="D184" s="172"/>
      <c r="E184" s="172"/>
      <c r="F184"/>
      <c r="G184"/>
      <c r="H184"/>
      <c r="I184"/>
      <c r="J184"/>
    </row>
    <row r="185" spans="2:10" ht="15" hidden="1" customHeight="1" outlineLevel="1">
      <c r="B185" s="32" t="e">
        <v>#REF!</v>
      </c>
      <c r="C185" s="172"/>
      <c r="D185" s="172"/>
      <c r="E185" s="172"/>
      <c r="F185"/>
      <c r="G185"/>
      <c r="H185"/>
      <c r="I185"/>
      <c r="J185"/>
    </row>
    <row r="186" spans="2:10" ht="15" hidden="1" customHeight="1" outlineLevel="1">
      <c r="B186" s="32" t="e">
        <v>#REF!</v>
      </c>
      <c r="C186" s="172"/>
      <c r="D186" s="172"/>
      <c r="E186" s="172"/>
      <c r="F186"/>
      <c r="G186"/>
      <c r="H186"/>
      <c r="I186"/>
      <c r="J186"/>
    </row>
    <row r="187" spans="2:10" ht="15" hidden="1" customHeight="1" outlineLevel="1">
      <c r="B187" s="32" t="s">
        <v>125</v>
      </c>
      <c r="C187" s="172"/>
      <c r="D187" s="172"/>
      <c r="E187" s="172"/>
      <c r="F187"/>
      <c r="G187"/>
      <c r="H187"/>
      <c r="I187"/>
      <c r="J187"/>
    </row>
    <row r="188" spans="2:10" ht="15" hidden="1" customHeight="1" outlineLevel="1">
      <c r="B188" s="32" t="s">
        <v>104</v>
      </c>
      <c r="C188" s="172"/>
      <c r="D188" s="172"/>
      <c r="E188" s="172"/>
      <c r="F188"/>
      <c r="G188"/>
      <c r="H188"/>
      <c r="I188"/>
      <c r="J188"/>
    </row>
    <row r="189" spans="2:10" ht="15" hidden="1" customHeight="1" outlineLevel="1">
      <c r="B189" s="32"/>
      <c r="C189" s="172"/>
      <c r="D189" s="172"/>
      <c r="E189" s="172"/>
      <c r="F189"/>
      <c r="G189"/>
      <c r="H189"/>
      <c r="I189"/>
      <c r="J189"/>
    </row>
    <row r="190" spans="2:10" ht="15.75" hidden="1" customHeight="1" outlineLevel="1" thickBot="1">
      <c r="B190" s="28"/>
      <c r="C190" s="181"/>
      <c r="D190" s="181"/>
      <c r="E190" s="181"/>
      <c r="F190" s="108"/>
      <c r="G190" s="108"/>
      <c r="H190" s="108"/>
      <c r="I190" s="108"/>
      <c r="J190" s="108"/>
    </row>
    <row r="191" spans="2:10" ht="11.25" customHeight="1" collapsed="1" thickBot="1">
      <c r="B191" s="182"/>
      <c r="C191" s="183"/>
      <c r="D191" s="183"/>
      <c r="E191" s="183"/>
      <c r="F191" s="183"/>
      <c r="G191" s="183"/>
      <c r="H191" s="183"/>
      <c r="I191" s="183"/>
      <c r="J191" s="183"/>
    </row>
    <row r="192" spans="2:10">
      <c r="B192" s="184" t="str">
        <f>F12&amp;" - "&amp;J12&amp;" Budget Assumptions:"</f>
        <v>FY2024 - FY2028 Budget Assumptions:</v>
      </c>
      <c r="C192" s="185"/>
      <c r="D192" s="185"/>
      <c r="E192" s="185"/>
      <c r="F192" s="185"/>
      <c r="G192" s="185"/>
      <c r="H192" s="185"/>
      <c r="I192" s="185"/>
      <c r="J192" s="186"/>
    </row>
    <row r="193" spans="2:10" ht="138.75" customHeight="1" thickBot="1">
      <c r="B193" s="210" t="s">
        <v>126</v>
      </c>
      <c r="C193" s="211"/>
      <c r="D193" s="211"/>
      <c r="E193" s="211"/>
      <c r="F193" s="211"/>
      <c r="G193" s="211"/>
      <c r="H193" s="211"/>
      <c r="I193" s="211"/>
      <c r="J193" s="212"/>
    </row>
    <row r="194" spans="2:10">
      <c r="B194" s="32"/>
      <c r="C194" s="213" t="str">
        <f>"Fiscal Year "&amp;F12&amp;" - "&amp;J12&amp;" Projected Debt"</f>
        <v>Fiscal Year FY2024 - FY2028 Projected Debt</v>
      </c>
      <c r="D194" s="214"/>
      <c r="E194" s="214"/>
      <c r="F194" s="214"/>
      <c r="G194" s="214"/>
      <c r="H194" s="215"/>
      <c r="J194" s="187"/>
    </row>
    <row r="195" spans="2:10" ht="15" thickBot="1">
      <c r="B195" s="32"/>
      <c r="C195" s="216"/>
      <c r="D195" s="217"/>
      <c r="E195" s="217"/>
      <c r="F195" s="217"/>
      <c r="G195" s="217"/>
      <c r="H195" s="218"/>
      <c r="J195" s="187"/>
    </row>
    <row r="196" spans="2:10" ht="28.9">
      <c r="B196" s="32"/>
      <c r="C196" s="188" t="s">
        <v>127</v>
      </c>
      <c r="D196" s="189" t="s">
        <v>128</v>
      </c>
      <c r="E196" s="189" t="s">
        <v>129</v>
      </c>
      <c r="F196" s="189" t="s">
        <v>130</v>
      </c>
      <c r="G196" s="190" t="s">
        <v>131</v>
      </c>
      <c r="H196" s="191" t="s">
        <v>132</v>
      </c>
      <c r="J196" s="187"/>
    </row>
    <row r="197" spans="2:10">
      <c r="B197" s="32"/>
      <c r="C197" s="192" t="s">
        <v>133</v>
      </c>
      <c r="D197" s="193">
        <v>1700000</v>
      </c>
      <c r="E197" s="193">
        <f>G197-D197</f>
        <v>0</v>
      </c>
      <c r="F197" s="193">
        <f>SUM(F47:J47)*-1</f>
        <v>2363527.4332313007</v>
      </c>
      <c r="G197" s="193">
        <v>1700000</v>
      </c>
      <c r="H197" s="194" t="str">
        <f>IF(SUM(D197:G197)=0,"","Accel")</f>
        <v>Accel</v>
      </c>
      <c r="J197" s="187"/>
    </row>
    <row r="198" spans="2:10">
      <c r="B198" s="32"/>
      <c r="C198" s="192" t="s">
        <v>134</v>
      </c>
      <c r="D198" s="193">
        <v>0</v>
      </c>
      <c r="E198" s="193">
        <f t="shared" ref="E198:E199" si="29">G198-D198</f>
        <v>0</v>
      </c>
      <c r="F198" s="193">
        <v>0</v>
      </c>
      <c r="G198" s="193">
        <v>0</v>
      </c>
      <c r="H198" s="194" t="str">
        <f>IF(SUM(D198:G198)=0,"","Other")</f>
        <v/>
      </c>
      <c r="J198" s="187"/>
    </row>
    <row r="199" spans="2:10">
      <c r="B199" s="32"/>
      <c r="C199" s="192" t="s">
        <v>135</v>
      </c>
      <c r="D199" s="193">
        <v>0</v>
      </c>
      <c r="E199" s="193">
        <f t="shared" si="29"/>
        <v>0</v>
      </c>
      <c r="F199" s="193">
        <v>0</v>
      </c>
      <c r="G199" s="193">
        <v>0</v>
      </c>
      <c r="H199" s="195" t="str">
        <f>IF(SUM(D199:G199)=0,"","CSC")</f>
        <v/>
      </c>
      <c r="J199" s="187"/>
    </row>
    <row r="200" spans="2:10" ht="29.45" thickBot="1">
      <c r="B200" s="32"/>
      <c r="C200" s="196" t="s">
        <v>136</v>
      </c>
      <c r="D200" s="197"/>
      <c r="E200" s="197"/>
      <c r="F200" s="197"/>
      <c r="G200" s="193"/>
      <c r="H200" s="195"/>
      <c r="J200" s="187"/>
    </row>
    <row r="201" spans="2:10" ht="9" customHeight="1" thickBot="1">
      <c r="B201" s="32"/>
      <c r="C201" s="198"/>
      <c r="D201" s="199"/>
      <c r="E201" s="199"/>
      <c r="F201" s="199"/>
      <c r="G201" s="199"/>
      <c r="H201" s="200"/>
      <c r="J201" s="187"/>
    </row>
    <row r="202" spans="2:10" ht="15" thickBot="1">
      <c r="B202" s="32"/>
      <c r="C202" s="201" t="s">
        <v>93</v>
      </c>
      <c r="D202" s="202">
        <f>SUM(D197:D200)</f>
        <v>1700000</v>
      </c>
      <c r="E202" s="202">
        <f>SUM(E197:E200)</f>
        <v>0</v>
      </c>
      <c r="F202" s="202">
        <f>SUM(F197:F200)</f>
        <v>2363527.4332313007</v>
      </c>
      <c r="G202" s="202">
        <f>SUM(D202:E202)</f>
        <v>1700000</v>
      </c>
      <c r="H202" s="200"/>
      <c r="J202" s="187"/>
    </row>
    <row r="203" spans="2:10" ht="15" thickBot="1">
      <c r="B203" s="28"/>
      <c r="C203" s="109"/>
      <c r="D203" s="109"/>
      <c r="E203" s="109"/>
      <c r="F203" s="109"/>
      <c r="G203" s="109"/>
      <c r="H203" s="109"/>
      <c r="I203" s="109"/>
      <c r="J203" s="146"/>
    </row>
    <row r="205" spans="2:10">
      <c r="F205" s="203">
        <f>F202+SUM(F47:J47)</f>
        <v>0</v>
      </c>
    </row>
    <row r="206" spans="2:10">
      <c r="C206" s="88">
        <f>SUM(C99:C101)</f>
        <v>20</v>
      </c>
      <c r="D206" s="88">
        <f t="shared" ref="D206:J206" si="30">SUM(D99:D101)</f>
        <v>21</v>
      </c>
      <c r="E206" s="88">
        <f t="shared" si="30"/>
        <v>23</v>
      </c>
      <c r="F206" s="88">
        <f t="shared" si="30"/>
        <v>19</v>
      </c>
      <c r="G206" s="88">
        <f t="shared" si="30"/>
        <v>21</v>
      </c>
      <c r="H206" s="88">
        <f t="shared" si="30"/>
        <v>22</v>
      </c>
      <c r="I206" s="88">
        <f t="shared" si="30"/>
        <v>23</v>
      </c>
      <c r="J206" s="88">
        <f t="shared" si="30"/>
        <v>23</v>
      </c>
    </row>
    <row r="208" spans="2:10">
      <c r="C208" s="204">
        <f>C23/C206</f>
        <v>44624.528000000006</v>
      </c>
      <c r="D208" s="204">
        <f t="shared" ref="D208:J208" si="31">D23/D206</f>
        <v>48449.14</v>
      </c>
      <c r="E208" s="204">
        <f t="shared" si="31"/>
        <v>52384.968695652176</v>
      </c>
      <c r="F208" s="204">
        <f t="shared" si="31"/>
        <v>46346.876944129552</v>
      </c>
      <c r="G208" s="204">
        <f t="shared" si="31"/>
        <v>50940.506544775344</v>
      </c>
      <c r="H208" s="204">
        <f t="shared" si="31"/>
        <v>51558.465158480329</v>
      </c>
      <c r="I208" s="204">
        <f t="shared" si="31"/>
        <v>53163.094369181061</v>
      </c>
      <c r="J208" s="204">
        <f t="shared" si="31"/>
        <v>55737.40546990533</v>
      </c>
    </row>
    <row r="216" spans="2:10">
      <c r="B216" s="183"/>
      <c r="C216" s="112"/>
      <c r="D216" s="112"/>
      <c r="E216" s="112"/>
      <c r="F216" s="112"/>
      <c r="G216" s="112"/>
      <c r="H216" s="112"/>
      <c r="I216" s="112"/>
      <c r="J216" s="112"/>
    </row>
    <row r="217" spans="2:10">
      <c r="B217" s="183"/>
      <c r="C217" s="112"/>
      <c r="D217" s="112"/>
      <c r="E217" s="112"/>
      <c r="F217" s="112"/>
      <c r="G217" s="112"/>
      <c r="H217" s="112"/>
      <c r="I217" s="112"/>
      <c r="J217" s="112"/>
    </row>
    <row r="218" spans="2:10">
      <c r="B218" s="183"/>
      <c r="C218" s="112"/>
      <c r="D218" s="112"/>
      <c r="E218" s="112"/>
      <c r="F218" s="112"/>
      <c r="G218" s="112"/>
      <c r="H218" s="112"/>
      <c r="I218" s="112"/>
      <c r="J218" s="112"/>
    </row>
    <row r="219" spans="2:10">
      <c r="B219" s="183"/>
      <c r="C219" s="112"/>
      <c r="D219" s="112"/>
      <c r="E219" s="112"/>
      <c r="F219" s="112"/>
      <c r="G219" s="112"/>
      <c r="H219" s="112"/>
      <c r="I219" s="112"/>
      <c r="J219" s="112"/>
    </row>
    <row r="220" spans="2:10">
      <c r="B220" s="183"/>
      <c r="C220" s="112"/>
      <c r="D220" s="112"/>
      <c r="E220" s="112"/>
      <c r="F220" s="112"/>
      <c r="G220" s="112"/>
      <c r="H220" s="112"/>
      <c r="I220" s="112"/>
      <c r="J220" s="112"/>
    </row>
    <row r="221" spans="2:10">
      <c r="B221" s="183"/>
      <c r="C221" s="112"/>
      <c r="D221" s="112"/>
      <c r="E221" s="112"/>
      <c r="F221" s="112"/>
      <c r="G221" s="112"/>
      <c r="H221" s="112"/>
      <c r="I221" s="112"/>
      <c r="J221" s="112"/>
    </row>
    <row r="222" spans="2:10">
      <c r="B222" s="183"/>
      <c r="C222" s="112"/>
      <c r="D222" s="112"/>
      <c r="E222" s="112"/>
      <c r="F222" s="112"/>
      <c r="G222" s="112"/>
      <c r="H222" s="112"/>
      <c r="I222" s="112"/>
      <c r="J222" s="112"/>
    </row>
    <row r="223" spans="2:10">
      <c r="B223" s="183"/>
      <c r="C223" s="112"/>
      <c r="D223" s="112"/>
      <c r="E223" s="112"/>
      <c r="F223" s="112"/>
      <c r="G223" s="112"/>
      <c r="H223" s="112"/>
      <c r="I223" s="112"/>
      <c r="J223" s="112"/>
    </row>
    <row r="224" spans="2:10">
      <c r="B224" s="183"/>
      <c r="C224" s="112"/>
      <c r="D224" s="112"/>
      <c r="E224" s="112"/>
      <c r="F224" s="112"/>
      <c r="G224" s="112"/>
      <c r="H224" s="112"/>
      <c r="I224" s="112"/>
      <c r="J224" s="112"/>
    </row>
    <row r="225" spans="2:10">
      <c r="B225" s="183"/>
      <c r="C225" s="112"/>
      <c r="D225" s="112"/>
      <c r="E225" s="112"/>
      <c r="F225" s="112"/>
      <c r="G225" s="112"/>
      <c r="H225" s="112"/>
      <c r="I225" s="112"/>
      <c r="J225" s="112"/>
    </row>
    <row r="226" spans="2:10">
      <c r="B226" s="183"/>
      <c r="C226" s="112"/>
      <c r="D226" s="112"/>
      <c r="E226" s="112"/>
      <c r="F226" s="112"/>
      <c r="G226" s="112"/>
      <c r="H226" s="112"/>
      <c r="I226" s="112"/>
      <c r="J226" s="112"/>
    </row>
    <row r="227" spans="2:10">
      <c r="B227" s="183"/>
      <c r="C227" s="112"/>
      <c r="D227" s="112"/>
      <c r="E227" s="112"/>
      <c r="F227" s="112"/>
      <c r="G227" s="112"/>
      <c r="H227" s="112"/>
      <c r="I227" s="112"/>
      <c r="J227" s="112"/>
    </row>
    <row r="228" spans="2:10">
      <c r="B228" s="183"/>
      <c r="C228" s="112"/>
      <c r="D228" s="112"/>
      <c r="E228" s="112"/>
      <c r="F228" s="112"/>
      <c r="G228" s="112"/>
      <c r="H228" s="112"/>
      <c r="I228" s="112"/>
      <c r="J228" s="112"/>
    </row>
    <row r="229" spans="2:10">
      <c r="B229" s="183"/>
      <c r="C229" s="112"/>
      <c r="D229" s="112"/>
      <c r="E229" s="112"/>
      <c r="F229" s="112"/>
      <c r="G229" s="112"/>
      <c r="H229" s="112"/>
      <c r="I229" s="112"/>
      <c r="J229" s="112"/>
    </row>
    <row r="230" spans="2:10">
      <c r="B230" s="205" t="s">
        <v>137</v>
      </c>
      <c r="C230" s="110">
        <f t="shared" ref="C230:J230" si="32">C20+SUM(C40:C44)</f>
        <v>2596584.3600000003</v>
      </c>
      <c r="D230" s="110">
        <f t="shared" si="32"/>
        <v>3664791.4700000007</v>
      </c>
      <c r="E230" s="110">
        <f t="shared" si="32"/>
        <v>3596192.37</v>
      </c>
      <c r="F230" s="110">
        <f t="shared" si="32"/>
        <v>3547758.8394704424</v>
      </c>
      <c r="G230" s="110">
        <f t="shared" si="32"/>
        <v>3515690.4897546084</v>
      </c>
      <c r="H230" s="110">
        <f t="shared" si="32"/>
        <v>3818632.4245022796</v>
      </c>
      <c r="I230" s="110">
        <f t="shared" si="32"/>
        <v>4365029.444314016</v>
      </c>
      <c r="J230" s="110">
        <f t="shared" si="32"/>
        <v>4670074.2222298039</v>
      </c>
    </row>
    <row r="231" spans="2:10">
      <c r="B231" s="206" t="s">
        <v>138</v>
      </c>
      <c r="C231" s="207"/>
      <c r="D231" s="207"/>
      <c r="E231" s="207">
        <v>3547758.8394704424</v>
      </c>
      <c r="F231" s="207">
        <v>3515690.4897546084</v>
      </c>
      <c r="G231" s="207"/>
      <c r="H231" s="207"/>
      <c r="I231" s="207"/>
      <c r="J231" s="207"/>
    </row>
    <row r="232" spans="2:10">
      <c r="B232" s="205" t="s">
        <v>139</v>
      </c>
      <c r="C232" s="110"/>
      <c r="D232" s="110"/>
      <c r="E232" s="110"/>
      <c r="F232" s="110">
        <f>F230-F231</f>
        <v>32068.349715834018</v>
      </c>
      <c r="G232" s="110"/>
      <c r="H232" s="110"/>
      <c r="I232" s="110"/>
      <c r="J232" s="110"/>
    </row>
    <row r="233" spans="2:10">
      <c r="B233" s="73"/>
      <c r="C233" s="88"/>
      <c r="D233" s="88"/>
      <c r="E233" s="88"/>
      <c r="F233" s="88"/>
      <c r="G233" s="88"/>
      <c r="H233" s="88"/>
      <c r="I233" s="88"/>
      <c r="J233" s="88"/>
    </row>
    <row r="234" spans="2:10">
      <c r="B234" s="73"/>
      <c r="C234" s="88"/>
      <c r="D234" s="88"/>
      <c r="E234" s="88"/>
      <c r="F234" s="88"/>
      <c r="G234" s="88"/>
      <c r="H234" s="88"/>
      <c r="I234" s="88"/>
      <c r="J234" s="88"/>
    </row>
    <row r="235" spans="2:10">
      <c r="B235" s="73"/>
      <c r="C235" s="88"/>
      <c r="D235" s="88"/>
      <c r="E235" s="88"/>
      <c r="F235" s="88"/>
      <c r="G235" s="88"/>
      <c r="H235" s="88"/>
      <c r="I235" s="88"/>
      <c r="J235" s="88"/>
    </row>
    <row r="236" spans="2:10">
      <c r="B236" s="73" t="s">
        <v>140</v>
      </c>
      <c r="C236" s="88">
        <f t="shared" ref="C236:E236" si="33">SUM(C37:C44)+C47+C33</f>
        <v>-142902.53999999986</v>
      </c>
      <c r="D236" s="88">
        <f t="shared" si="33"/>
        <v>601394.35000000207</v>
      </c>
      <c r="E236" s="88">
        <f t="shared" si="33"/>
        <v>-165156.57999999798</v>
      </c>
      <c r="F236" s="88">
        <f>SUM(F37:F44)+F47+F33</f>
        <v>-184506.66645881103</v>
      </c>
      <c r="G236" s="88">
        <f t="shared" ref="G236:J236" si="34">SUM(G37:G44)+G47+G33</f>
        <v>239922.94526738324</v>
      </c>
      <c r="H236" s="88">
        <f t="shared" si="34"/>
        <v>318756.44538589648</v>
      </c>
      <c r="I236" s="88">
        <f t="shared" si="34"/>
        <v>551734.2995269855</v>
      </c>
      <c r="J236" s="88">
        <f t="shared" si="34"/>
        <v>649200.24706625799</v>
      </c>
    </row>
    <row r="237" spans="2:10">
      <c r="B237" s="208" t="s">
        <v>141</v>
      </c>
      <c r="C237" s="209"/>
      <c r="D237" s="209"/>
      <c r="E237" s="209">
        <v>-184506</v>
      </c>
      <c r="F237" s="209">
        <v>239923</v>
      </c>
      <c r="G237" s="209"/>
      <c r="H237" s="209"/>
      <c r="I237" s="209"/>
      <c r="J237" s="209"/>
    </row>
    <row r="238" spans="2:10">
      <c r="B238" s="73" t="s">
        <v>139</v>
      </c>
      <c r="E238" s="88">
        <f>E236-E237</f>
        <v>19349.420000002021</v>
      </c>
      <c r="F238" s="88">
        <f>F236-F237</f>
        <v>-424429.66645881103</v>
      </c>
      <c r="G238" s="88"/>
    </row>
  </sheetData>
  <mergeCells count="2">
    <mergeCell ref="B193:J193"/>
    <mergeCell ref="C194:H195"/>
  </mergeCells>
  <conditionalFormatting sqref="C62:J62">
    <cfRule type="cellIs" dxfId="5" priority="7" operator="equal">
      <formula>0</formula>
    </cfRule>
    <cfRule type="cellIs" dxfId="4" priority="8" operator="notEqual">
      <formula>0</formula>
    </cfRule>
  </conditionalFormatting>
  <conditionalFormatting sqref="C76:J76">
    <cfRule type="cellIs" dxfId="3" priority="5" operator="equal">
      <formula>0</formula>
    </cfRule>
    <cfRule type="cellIs" dxfId="2" priority="6" operator="notEqual">
      <formula>0</formula>
    </cfRule>
  </conditionalFormatting>
  <conditionalFormatting sqref="C84:J84">
    <cfRule type="cellIs" dxfId="1" priority="3" operator="equal">
      <formula>0</formula>
    </cfRule>
    <cfRule type="cellIs" dxfId="0" priority="4" operator="notEqual">
      <formula>0</formula>
    </cfRule>
  </conditionalFormatting>
  <printOptions horizontalCentered="1" verticalCentered="1"/>
  <pageMargins left="0.5" right="0.5" top="0.25" bottom="0.25" header="0.3" footer="0.3"/>
  <pageSetup scale="59" fitToHeight="3" orientation="landscape" r:id="rId1"/>
  <rowBreaks count="1" manualBreakCount="1">
    <brk id="59" max="9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F21DE3D2848B648928D8957C2E638B7" ma:contentTypeVersion="19" ma:contentTypeDescription="Create a new document." ma:contentTypeScope="" ma:versionID="944a1a44f7f57374a75442ac0be9410a">
  <xsd:schema xmlns:xsd="http://www.w3.org/2001/XMLSchema" xmlns:xs="http://www.w3.org/2001/XMLSchema" xmlns:p="http://schemas.microsoft.com/office/2006/metadata/properties" xmlns:ns2="682f5410-9528-4dbf-953e-06b19604bfcc" xmlns:ns3="22fc92a4-2d4b-4a6c-8d09-3c6205f3fc06" targetNamespace="http://schemas.microsoft.com/office/2006/metadata/properties" ma:root="true" ma:fieldsID="9c90b1d339eda11c400d4bbce03eb03c" ns2:_="" ns3:_="">
    <xsd:import namespace="682f5410-9528-4dbf-953e-06b19604bfcc"/>
    <xsd:import namespace="22fc92a4-2d4b-4a6c-8d09-3c6205f3fc06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MediaServiceAutoKeyPoints" minOccurs="0"/>
                <xsd:element ref="ns3:MediaServiceKeyPoints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lcf76f155ced4ddcb4097134ff3c332f" minOccurs="0"/>
                <xsd:element ref="ns3:MediaServiceLocation" minOccurs="0"/>
                <xsd:element ref="ns2:SharedWithUsers" minOccurs="0"/>
                <xsd:element ref="ns2:SharedWithDetail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2f5410-9528-4dbf-953e-06b19604bfcc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17" nillable="true" ma:displayName="Taxonomy Catch All Column" ma:hidden="true" ma:list="{6888afee-3ed9-4001-a5c3-ce7939f61fca}" ma:internalName="TaxCatchAll" ma:showField="CatchAllData" ma:web="682f5410-9528-4dbf-953e-06b19604bfc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fc92a4-2d4b-4a6c-8d09-3c6205f3fc0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19847e17-e9f7-49bd-b85f-20f79e8f48f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82f5410-9528-4dbf-953e-06b19604bfcc" xsi:nil="true"/>
    <lcf76f155ced4ddcb4097134ff3c332f xmlns="22fc92a4-2d4b-4a6c-8d09-3c6205f3fc06">
      <Terms xmlns="http://schemas.microsoft.com/office/infopath/2007/PartnerControls"/>
    </lcf76f155ced4ddcb4097134ff3c332f>
    <_dlc_DocId xmlns="682f5410-9528-4dbf-953e-06b19604bfcc">4ACVR65RP5MX-1696420833-539232</_dlc_DocId>
    <_dlc_DocIdUrl xmlns="682f5410-9528-4dbf-953e-06b19604bfcc">
      <Url>https://charterschoolspecialists.sharepoint.com/sites/CompanyShared/_layouts/15/DocIdRedir.aspx?ID=4ACVR65RP5MX-1696420833-539232</Url>
      <Description>4ACVR65RP5MX-1696420833-539232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19377359-AB1E-409F-84E5-B2DFE7E4D6B5}"/>
</file>

<file path=customXml/itemProps2.xml><?xml version="1.0" encoding="utf-8"?>
<ds:datastoreItem xmlns:ds="http://schemas.openxmlformats.org/officeDocument/2006/customXml" ds:itemID="{4D908BD8-13C7-448D-931F-17D7CB5A2E31}"/>
</file>

<file path=customXml/itemProps3.xml><?xml version="1.0" encoding="utf-8"?>
<ds:datastoreItem xmlns:ds="http://schemas.openxmlformats.org/officeDocument/2006/customXml" ds:itemID="{F1AA5E9C-C993-4C94-A9BD-A5F59DAAFD52}"/>
</file>

<file path=customXml/itemProps4.xml><?xml version="1.0" encoding="utf-8"?>
<ds:datastoreItem xmlns:ds="http://schemas.openxmlformats.org/officeDocument/2006/customXml" ds:itemID="{D029B021-D10A-40D7-9615-813489635B3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Patti Ashley</dc:creator>
  <cp:keywords/>
  <dc:description/>
  <cp:lastModifiedBy>Michael Barnhart</cp:lastModifiedBy>
  <cp:revision/>
  <dcterms:created xsi:type="dcterms:W3CDTF">2024-05-15T17:01:59Z</dcterms:created>
  <dcterms:modified xsi:type="dcterms:W3CDTF">2024-05-21T16:36:56Z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4fb088f-bae9-4abd-ab58-9bfbeadf2f19_Enabled">
    <vt:lpwstr>true</vt:lpwstr>
  </property>
  <property fmtid="{D5CDD505-2E9C-101B-9397-08002B2CF9AE}" pid="3" name="MSIP_Label_94fb088f-bae9-4abd-ab58-9bfbeadf2f19_SetDate">
    <vt:lpwstr>2024-05-15T17:02:21Z</vt:lpwstr>
  </property>
  <property fmtid="{D5CDD505-2E9C-101B-9397-08002B2CF9AE}" pid="4" name="MSIP_Label_94fb088f-bae9-4abd-ab58-9bfbeadf2f19_Method">
    <vt:lpwstr>Standard</vt:lpwstr>
  </property>
  <property fmtid="{D5CDD505-2E9C-101B-9397-08002B2CF9AE}" pid="5" name="MSIP_Label_94fb088f-bae9-4abd-ab58-9bfbeadf2f19_Name">
    <vt:lpwstr>defa4170-0d19-0005-0004-bc88714345d2</vt:lpwstr>
  </property>
  <property fmtid="{D5CDD505-2E9C-101B-9397-08002B2CF9AE}" pid="6" name="MSIP_Label_94fb088f-bae9-4abd-ab58-9bfbeadf2f19_SiteId">
    <vt:lpwstr>4f48161d-d972-4dbb-8374-0fd5b53a0be7</vt:lpwstr>
  </property>
  <property fmtid="{D5CDD505-2E9C-101B-9397-08002B2CF9AE}" pid="7" name="MSIP_Label_94fb088f-bae9-4abd-ab58-9bfbeadf2f19_ActionId">
    <vt:lpwstr>924751b4-55dc-4479-8a42-e56a376c57ba</vt:lpwstr>
  </property>
  <property fmtid="{D5CDD505-2E9C-101B-9397-08002B2CF9AE}" pid="8" name="MSIP_Label_94fb088f-bae9-4abd-ab58-9bfbeadf2f19_ContentBits">
    <vt:lpwstr>0</vt:lpwstr>
  </property>
  <property fmtid="{D5CDD505-2E9C-101B-9397-08002B2CF9AE}" pid="9" name="ContentTypeId">
    <vt:lpwstr>0x010100BF21DE3D2848B648928D8957C2E638B7</vt:lpwstr>
  </property>
  <property fmtid="{D5CDD505-2E9C-101B-9397-08002B2CF9AE}" pid="10" name="_dlc_DocIdItemGuid">
    <vt:lpwstr>12b2a065-84e6-4a83-84e6-404b48bb2024</vt:lpwstr>
  </property>
  <property fmtid="{D5CDD505-2E9C-101B-9397-08002B2CF9AE}" pid="11" name="MediaServiceImageTags">
    <vt:lpwstr/>
  </property>
</Properties>
</file>